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Hiver 2024/Finance gaganante (430-853-ME)/Centre de santé laMINE de Jouvence inc./"/>
    </mc:Choice>
  </mc:AlternateContent>
  <xr:revisionPtr revIDLastSave="0" documentId="8_{99C21A0F-D280-634B-BCA9-739887F03CC5}" xr6:coauthVersionLast="47" xr6:coauthVersionMax="47" xr10:uidLastSave="{00000000-0000-0000-0000-000000000000}"/>
  <bookViews>
    <workbookView xWindow="0" yWindow="500" windowWidth="47520" windowHeight="23900" xr2:uid="{5480BB8B-10A7-474E-8526-1C9D3C7354E6}"/>
  </bookViews>
  <sheets>
    <sheet name="Tableau de bord" sheetId="1" r:id="rId1"/>
    <sheet name="État des Résultats" sheetId="2" r:id="rId2"/>
  </sheets>
  <definedNames>
    <definedName name="image1">#REF!</definedName>
    <definedName name="image2">#REF!</definedName>
    <definedName name="_xlnm.Print_Area" localSheetId="1">'État des Résultats'!$C$2:$AQ$47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" l="1"/>
  <c r="F7" i="2"/>
  <c r="F7" i="1"/>
  <c r="O19" i="2"/>
  <c r="F8" i="2"/>
  <c r="M19" i="2"/>
  <c r="Q19" i="2"/>
  <c r="E35" i="2"/>
  <c r="E17" i="2"/>
  <c r="E22" i="2"/>
  <c r="E40" i="2"/>
  <c r="E41" i="2"/>
  <c r="C44" i="2"/>
  <c r="J35" i="2"/>
  <c r="J43" i="2" s="1"/>
  <c r="J41" i="2"/>
  <c r="J40" i="2"/>
  <c r="J22" i="2"/>
  <c r="J17" i="2"/>
  <c r="E14" i="2"/>
  <c r="E13" i="2"/>
  <c r="E12" i="2"/>
  <c r="H11" i="2"/>
  <c r="H15" i="2" s="1"/>
  <c r="H14" i="2"/>
  <c r="H13" i="2"/>
  <c r="H12" i="2"/>
  <c r="K22" i="1"/>
  <c r="K21" i="1"/>
  <c r="K11" i="1"/>
  <c r="K10" i="1"/>
  <c r="K24" i="1"/>
  <c r="F9" i="1"/>
  <c r="F10" i="1"/>
  <c r="F11" i="1"/>
  <c r="F15" i="1"/>
  <c r="F16" i="1"/>
  <c r="F17" i="1"/>
  <c r="F21" i="1"/>
  <c r="F22" i="1"/>
  <c r="F24" i="1"/>
  <c r="D24" i="1"/>
  <c r="K15" i="1"/>
  <c r="K16" i="1"/>
  <c r="K17" i="1"/>
  <c r="K19" i="1"/>
  <c r="F19" i="1"/>
  <c r="D19" i="1"/>
  <c r="K13" i="1"/>
  <c r="F13" i="1"/>
  <c r="D13" i="1"/>
  <c r="D15" i="1"/>
  <c r="D17" i="1"/>
  <c r="D16" i="1"/>
  <c r="D18" i="1"/>
  <c r="H24" i="2"/>
  <c r="H36" i="2"/>
  <c r="E24" i="2"/>
  <c r="E36" i="2"/>
  <c r="O17" i="2"/>
  <c r="O21" i="2"/>
  <c r="H20" i="2"/>
  <c r="H21" i="2"/>
  <c r="E20" i="2"/>
  <c r="E21" i="2"/>
  <c r="AE15" i="1"/>
  <c r="AE22" i="1"/>
  <c r="AE21" i="1"/>
  <c r="AE17" i="1"/>
  <c r="AE16" i="1"/>
  <c r="AE11" i="1"/>
  <c r="AE10" i="1"/>
  <c r="AE9" i="1"/>
  <c r="U24" i="1"/>
  <c r="U19" i="1"/>
  <c r="U13" i="1"/>
  <c r="N13" i="1" s="1"/>
  <c r="AC22" i="1"/>
  <c r="AC16" i="1"/>
  <c r="AC10" i="1"/>
  <c r="S22" i="1"/>
  <c r="S21" i="1"/>
  <c r="AC21" i="1"/>
  <c r="S17" i="1"/>
  <c r="AC17" i="1"/>
  <c r="S16" i="1"/>
  <c r="S15" i="1"/>
  <c r="AC15" i="1"/>
  <c r="S11" i="1"/>
  <c r="AC11" i="1"/>
  <c r="S10" i="1"/>
  <c r="S9" i="1"/>
  <c r="AC9" i="1"/>
  <c r="S7" i="1"/>
  <c r="N7" i="1" s="1"/>
  <c r="P7" i="1"/>
  <c r="Z7" i="1"/>
  <c r="AE24" i="1"/>
  <c r="I24" i="1"/>
  <c r="AE19" i="1"/>
  <c r="I19" i="1"/>
  <c r="S19" i="1"/>
  <c r="AC19" i="1"/>
  <c r="AE13" i="1"/>
  <c r="X13" i="1" s="1"/>
  <c r="I13" i="1"/>
  <c r="S13" i="1"/>
  <c r="AC13" i="1"/>
  <c r="E7" i="1"/>
  <c r="L7" i="1"/>
  <c r="J7" i="1"/>
  <c r="J9" i="1"/>
  <c r="J10" i="1"/>
  <c r="J11" i="1"/>
  <c r="H7" i="1"/>
  <c r="G7" i="1"/>
  <c r="Q7" i="1"/>
  <c r="P9" i="1"/>
  <c r="T7" i="1"/>
  <c r="AA7" i="1"/>
  <c r="AD7" i="1"/>
  <c r="L9" i="1"/>
  <c r="V7" i="1"/>
  <c r="AF7" i="1"/>
  <c r="D9" i="1"/>
  <c r="D12" i="1" s="1"/>
  <c r="G9" i="1"/>
  <c r="E9" i="1"/>
  <c r="O7" i="1"/>
  <c r="Y7" i="1"/>
  <c r="I26" i="1"/>
  <c r="S26" i="1" s="1"/>
  <c r="AC26" i="1" s="1"/>
  <c r="S24" i="1"/>
  <c r="AC24" i="1"/>
  <c r="H9" i="1"/>
  <c r="R7" i="1"/>
  <c r="AB7" i="1"/>
  <c r="D10" i="1"/>
  <c r="P10" i="1"/>
  <c r="N9" i="1"/>
  <c r="N12" i="1" s="1"/>
  <c r="Z9" i="1"/>
  <c r="X9" i="1"/>
  <c r="X12" i="1" s="1"/>
  <c r="J13" i="1"/>
  <c r="J15" i="1"/>
  <c r="J16" i="1"/>
  <c r="J17" i="1"/>
  <c r="P11" i="1"/>
  <c r="H10" i="1"/>
  <c r="R9" i="1"/>
  <c r="AB9" i="1"/>
  <c r="E10" i="1"/>
  <c r="O9" i="1"/>
  <c r="Y9" i="1"/>
  <c r="L10" i="1"/>
  <c r="V9" i="1"/>
  <c r="AF9" i="1"/>
  <c r="N11" i="1"/>
  <c r="Z11" i="1"/>
  <c r="X11" i="1"/>
  <c r="Z10" i="1"/>
  <c r="X10" i="1"/>
  <c r="N10" i="1"/>
  <c r="G10" i="1"/>
  <c r="Q9" i="1"/>
  <c r="J19" i="1"/>
  <c r="J21" i="1"/>
  <c r="J22" i="1"/>
  <c r="J24" i="1"/>
  <c r="J26" i="1"/>
  <c r="D11" i="1"/>
  <c r="P15" i="1"/>
  <c r="P13" i="1"/>
  <c r="L11" i="1"/>
  <c r="V10" i="1"/>
  <c r="AF10" i="1"/>
  <c r="H11" i="1"/>
  <c r="R10" i="1"/>
  <c r="AB10" i="1"/>
  <c r="Z15" i="1"/>
  <c r="X15" i="1"/>
  <c r="N15" i="1"/>
  <c r="T9" i="1"/>
  <c r="AA9" i="1"/>
  <c r="AD9" i="1"/>
  <c r="G11" i="1"/>
  <c r="Q10" i="1"/>
  <c r="E11" i="1"/>
  <c r="O10" i="1"/>
  <c r="Y10" i="1"/>
  <c r="P16" i="1"/>
  <c r="Q11" i="1"/>
  <c r="G15" i="1"/>
  <c r="G13" i="1"/>
  <c r="Q13" i="1"/>
  <c r="Z13" i="1"/>
  <c r="O11" i="1"/>
  <c r="Y11" i="1"/>
  <c r="E13" i="1"/>
  <c r="O13" i="1"/>
  <c r="Y13" i="1"/>
  <c r="E15" i="1"/>
  <c r="R11" i="1"/>
  <c r="AB11" i="1"/>
  <c r="H13" i="1"/>
  <c r="R13" i="1"/>
  <c r="AB13" i="1"/>
  <c r="H15" i="1"/>
  <c r="N16" i="1"/>
  <c r="Z16" i="1"/>
  <c r="X16" i="1"/>
  <c r="AA10" i="1"/>
  <c r="AD10" i="1"/>
  <c r="T10" i="1"/>
  <c r="V11" i="1"/>
  <c r="AF11" i="1"/>
  <c r="L15" i="1"/>
  <c r="L13" i="1"/>
  <c r="V13" i="1"/>
  <c r="AF13" i="1"/>
  <c r="P17" i="1"/>
  <c r="L16" i="1"/>
  <c r="V15" i="1"/>
  <c r="AF15" i="1"/>
  <c r="G16" i="1"/>
  <c r="Q15" i="1"/>
  <c r="N17" i="1"/>
  <c r="N18" i="1"/>
  <c r="Z17" i="1"/>
  <c r="X17" i="1"/>
  <c r="X18" i="1"/>
  <c r="E16" i="1"/>
  <c r="O15" i="1"/>
  <c r="Y15" i="1"/>
  <c r="T11" i="1"/>
  <c r="AA11" i="1"/>
  <c r="AD11" i="1"/>
  <c r="H16" i="1"/>
  <c r="R15" i="1"/>
  <c r="AB15" i="1"/>
  <c r="T13" i="1"/>
  <c r="AA13" i="1"/>
  <c r="AD13" i="1"/>
  <c r="P21" i="1"/>
  <c r="T15" i="1"/>
  <c r="AA15" i="1"/>
  <c r="AD15" i="1"/>
  <c r="L17" i="1"/>
  <c r="V16" i="1"/>
  <c r="AF16" i="1"/>
  <c r="Z21" i="1"/>
  <c r="X21" i="1"/>
  <c r="N21" i="1"/>
  <c r="P19" i="1"/>
  <c r="H17" i="1"/>
  <c r="R16" i="1"/>
  <c r="AB16" i="1"/>
  <c r="E17" i="1"/>
  <c r="O16" i="1"/>
  <c r="Y16" i="1"/>
  <c r="G17" i="1"/>
  <c r="Q16" i="1"/>
  <c r="D21" i="1"/>
  <c r="P22" i="1"/>
  <c r="N22" i="1"/>
  <c r="Z22" i="1"/>
  <c r="X22" i="1"/>
  <c r="O17" i="1"/>
  <c r="Y17" i="1"/>
  <c r="E21" i="1"/>
  <c r="E18" i="1"/>
  <c r="E19" i="1"/>
  <c r="O19" i="1"/>
  <c r="Y19" i="1"/>
  <c r="N23" i="1"/>
  <c r="N19" i="1"/>
  <c r="Z19" i="1"/>
  <c r="X19" i="1"/>
  <c r="V17" i="1"/>
  <c r="AF17" i="1"/>
  <c r="L21" i="1"/>
  <c r="L19" i="1"/>
  <c r="V19" i="1"/>
  <c r="AF19" i="1"/>
  <c r="AA16" i="1"/>
  <c r="AD16" i="1"/>
  <c r="T16" i="1"/>
  <c r="Q17" i="1"/>
  <c r="G19" i="1"/>
  <c r="Q19" i="1"/>
  <c r="G21" i="1"/>
  <c r="R17" i="1"/>
  <c r="AB17" i="1"/>
  <c r="H19" i="1"/>
  <c r="R19" i="1"/>
  <c r="AB19" i="1"/>
  <c r="H21" i="1"/>
  <c r="P24" i="1"/>
  <c r="D22" i="1"/>
  <c r="D23" i="1"/>
  <c r="N24" i="1"/>
  <c r="Z24" i="1"/>
  <c r="X24" i="1"/>
  <c r="AA19" i="1"/>
  <c r="AD19" i="1"/>
  <c r="T19" i="1"/>
  <c r="G22" i="1"/>
  <c r="Q21" i="1"/>
  <c r="E22" i="1"/>
  <c r="O21" i="1"/>
  <c r="Y21" i="1"/>
  <c r="H22" i="1"/>
  <c r="R21" i="1"/>
  <c r="AB21" i="1"/>
  <c r="AA17" i="1"/>
  <c r="AD17" i="1"/>
  <c r="T17" i="1"/>
  <c r="L22" i="1"/>
  <c r="V21" i="1"/>
  <c r="AF21" i="1"/>
  <c r="F26" i="1"/>
  <c r="P26" i="1"/>
  <c r="Z26" i="1"/>
  <c r="E24" i="1"/>
  <c r="O22" i="1"/>
  <c r="Y22" i="1"/>
  <c r="T21" i="1"/>
  <c r="AA21" i="1"/>
  <c r="AD21" i="1"/>
  <c r="L24" i="1"/>
  <c r="V22" i="1"/>
  <c r="AF22" i="1"/>
  <c r="H24" i="1"/>
  <c r="R22" i="1"/>
  <c r="AB22" i="1"/>
  <c r="G24" i="1"/>
  <c r="Q22" i="1"/>
  <c r="G26" i="1"/>
  <c r="Q26" i="1"/>
  <c r="Q24" i="1"/>
  <c r="L26" i="1"/>
  <c r="V24" i="1"/>
  <c r="AF24" i="1"/>
  <c r="E26" i="1"/>
  <c r="O24" i="1"/>
  <c r="Y24" i="1"/>
  <c r="AA22" i="1"/>
  <c r="AD22" i="1"/>
  <c r="T22" i="1"/>
  <c r="H26" i="1"/>
  <c r="R24" i="1"/>
  <c r="AB24" i="1"/>
  <c r="V26" i="1"/>
  <c r="L28" i="1"/>
  <c r="T24" i="1"/>
  <c r="AA24" i="1"/>
  <c r="AD24" i="1"/>
  <c r="H28" i="1"/>
  <c r="R26" i="1"/>
  <c r="O26" i="1"/>
  <c r="E28" i="1"/>
  <c r="T26" i="1"/>
  <c r="AA26" i="1"/>
  <c r="AD26" i="1"/>
  <c r="O28" i="1"/>
  <c r="Y26" i="1"/>
  <c r="Y28" i="1"/>
  <c r="R28" i="1"/>
  <c r="AB26" i="1"/>
  <c r="AB28" i="1"/>
  <c r="V28" i="1"/>
  <c r="AF26" i="1"/>
  <c r="AF28" i="1"/>
  <c r="K31" i="1" l="1"/>
  <c r="AC7" i="1"/>
  <c r="N26" i="1"/>
  <c r="U26" i="1" s="1"/>
  <c r="T28" i="1" s="1"/>
  <c r="E11" i="2"/>
  <c r="E15" i="2" s="1"/>
  <c r="F12" i="2" s="1"/>
  <c r="I21" i="2"/>
  <c r="I28" i="2"/>
  <c r="I29" i="2"/>
  <c r="I31" i="2" s="1"/>
  <c r="I22" i="2"/>
  <c r="I20" i="2"/>
  <c r="I30" i="2"/>
  <c r="I12" i="2"/>
  <c r="H26" i="2"/>
  <c r="I14" i="2"/>
  <c r="I41" i="2"/>
  <c r="I33" i="2"/>
  <c r="I40" i="2"/>
  <c r="I24" i="2"/>
  <c r="I36" i="2"/>
  <c r="I17" i="2"/>
  <c r="I34" i="2"/>
  <c r="I11" i="2"/>
  <c r="I35" i="2"/>
  <c r="I32" i="2"/>
  <c r="I13" i="2"/>
  <c r="AE7" i="1"/>
  <c r="D7" i="1"/>
  <c r="D26" i="1" s="1"/>
  <c r="K26" i="1" s="1"/>
  <c r="J28" i="1" s="1"/>
  <c r="X7" i="1" l="1"/>
  <c r="X26" i="1" s="1"/>
  <c r="AE26" i="1" s="1"/>
  <c r="AD28" i="1" s="1"/>
  <c r="K43" i="2" s="1"/>
  <c r="F41" i="2"/>
  <c r="F14" i="2"/>
  <c r="F22" i="2"/>
  <c r="F20" i="2"/>
  <c r="C9" i="2"/>
  <c r="F31" i="2"/>
  <c r="F21" i="2"/>
  <c r="F11" i="2"/>
  <c r="F33" i="2"/>
  <c r="F30" i="2"/>
  <c r="F32" i="2"/>
  <c r="F13" i="2"/>
  <c r="F36" i="2"/>
  <c r="F35" i="2"/>
  <c r="F17" i="2"/>
  <c r="F6" i="2"/>
  <c r="F29" i="2"/>
  <c r="F34" i="2"/>
  <c r="F24" i="2"/>
  <c r="E26" i="2"/>
  <c r="F26" i="2" s="1"/>
  <c r="K19" i="2"/>
  <c r="M17" i="2" s="1"/>
  <c r="M21" i="2" s="1"/>
  <c r="F40" i="2"/>
  <c r="F28" i="2"/>
  <c r="H38" i="2"/>
  <c r="I26" i="2"/>
  <c r="I15" i="2"/>
  <c r="F15" i="2" l="1"/>
  <c r="E38" i="2"/>
  <c r="E43" i="2"/>
  <c r="F38" i="2"/>
  <c r="I38" i="2"/>
  <c r="H43" i="2"/>
  <c r="I43" i="2" l="1"/>
  <c r="H45" i="2"/>
  <c r="I45" i="2" s="1"/>
  <c r="F43" i="2"/>
  <c r="E45" i="2"/>
  <c r="F45" i="2" s="1"/>
  <c r="K17" i="2"/>
  <c r="E47" i="2" l="1"/>
  <c r="F47" i="2" s="1"/>
  <c r="H47" i="2"/>
  <c r="I47" i="2" s="1"/>
  <c r="Q17" i="2"/>
  <c r="S21" i="2" s="1"/>
  <c r="K21" i="2"/>
  <c r="Q21" i="2" s="1"/>
</calcChain>
</file>

<file path=xl/sharedStrings.xml><?xml version="1.0" encoding="utf-8"?>
<sst xmlns="http://schemas.openxmlformats.org/spreadsheetml/2006/main" count="135" uniqueCount="82">
  <si>
    <t>B</t>
  </si>
  <si>
    <t>Bain de boue</t>
  </si>
  <si>
    <t>=</t>
  </si>
  <si>
    <t>A</t>
  </si>
  <si>
    <t>x</t>
  </si>
  <si>
    <t>(</t>
  </si>
  <si>
    <t>Um/A</t>
  </si>
  <si>
    <t>PmO</t>
  </si>
  <si>
    <t>)</t>
  </si>
  <si>
    <t xml:space="preserve"> </t>
  </si>
  <si>
    <t>-</t>
  </si>
  <si>
    <t>C</t>
  </si>
  <si>
    <t>CmO</t>
  </si>
  <si>
    <t>BmO)</t>
  </si>
  <si>
    <t>Cm/A</t>
  </si>
  <si>
    <t>Bm/A</t>
  </si>
  <si>
    <t>Massage de boue</t>
  </si>
  <si>
    <t>Centre de santé LaMine de Jouvence inc.</t>
  </si>
  <si>
    <t>Nourriture totale</t>
  </si>
  <si>
    <t>Boisson totale</t>
  </si>
  <si>
    <t>P&amp;S complémentaire totale</t>
  </si>
  <si>
    <t>Nourriture 1</t>
  </si>
  <si>
    <t>Nourriture 2</t>
  </si>
  <si>
    <t>Nourriture 3</t>
  </si>
  <si>
    <t>Boisson 1</t>
  </si>
  <si>
    <t>Boisson 2</t>
  </si>
  <si>
    <t>Boisson 3</t>
  </si>
  <si>
    <t>R</t>
  </si>
  <si>
    <t>Rm/A</t>
  </si>
  <si>
    <t>État des résultats</t>
  </si>
  <si>
    <t>Pour la période du 1er janvier 20XX au 31 décembre 20XX</t>
  </si>
  <si>
    <t>Nombre de places</t>
  </si>
  <si>
    <t>Rev/Place/Jour =</t>
  </si>
  <si>
    <t>Revenus, coûts, bénéfices unitaires moyens par acheteur</t>
  </si>
  <si>
    <t>Revenus annuels par place</t>
  </si>
  <si>
    <t>Capitaux investis</t>
  </si>
  <si>
    <t>Résultats</t>
  </si>
  <si>
    <t>(%)</t>
  </si>
  <si>
    <t>Revenus</t>
  </si>
  <si>
    <t>Les 5 mesures de base</t>
  </si>
  <si>
    <t xml:space="preserve"> Aliments et boissons non alcoolisées</t>
  </si>
  <si>
    <t xml:space="preserve"> Boissons alcoolisées</t>
  </si>
  <si>
    <t xml:space="preserve"> Autres revenus</t>
  </si>
  <si>
    <t>La gestion de l'exploitation</t>
  </si>
  <si>
    <t>La gestion des ressources</t>
  </si>
  <si>
    <t>La gestion de la dette</t>
  </si>
  <si>
    <t>Le rendement sur l'investissement des actionnaires</t>
  </si>
  <si>
    <t>Le rendement sur l'investissement des actionnaires en %</t>
  </si>
  <si>
    <t xml:space="preserve">   Total des revenus</t>
  </si>
  <si>
    <t>Coût des produits vendus</t>
  </si>
  <si>
    <t xml:space="preserve"> ÷ </t>
  </si>
  <si>
    <t xml:space="preserve">Coût de la main-d’œuvre </t>
  </si>
  <si>
    <t xml:space="preserve"> Total des salaires</t>
  </si>
  <si>
    <t xml:space="preserve"> Total des avantages sociaux</t>
  </si>
  <si>
    <t xml:space="preserve">   Total des coûts de la main-d’œuvre</t>
  </si>
  <si>
    <t xml:space="preserve">   « Prime Cost »</t>
  </si>
  <si>
    <t xml:space="preserve">   Marge bénéficiaire brute</t>
  </si>
  <si>
    <t xml:space="preserve"> Frais d’occupation </t>
  </si>
  <si>
    <t xml:space="preserve"> Coût direct d’exploitation </t>
  </si>
  <si>
    <t xml:space="preserve"> Musique &amp; Divertissement </t>
  </si>
  <si>
    <t xml:space="preserve"> Marketing &amp; Communication marketing</t>
  </si>
  <si>
    <t xml:space="preserve"> Services publics </t>
  </si>
  <si>
    <t xml:space="preserve"> Administration &amp; Frais généraux</t>
  </si>
  <si>
    <t xml:space="preserve"> Entretien &amp; Réparations </t>
  </si>
  <si>
    <t xml:space="preserve"> Autres dépenses </t>
  </si>
  <si>
    <t xml:space="preserve">   Total des frais d’exploitation</t>
  </si>
  <si>
    <t>Bénéfices nets avant frais financiers, amort. et impôt (BAIIA)</t>
  </si>
  <si>
    <t xml:space="preserve"> Frais de services financiers</t>
  </si>
  <si>
    <t xml:space="preserve"> Amortissement et dépréciation</t>
  </si>
  <si>
    <t xml:space="preserve">BÉNÉFICE NET AVANT IMPÔT </t>
    <phoneticPr fontId="0" type="noConversion"/>
  </si>
  <si>
    <t xml:space="preserve"> Impôts </t>
  </si>
  <si>
    <t xml:space="preserve">BÉNÉFICE NET </t>
  </si>
  <si>
    <t>Taux d'imposition</t>
  </si>
  <si>
    <t xml:space="preserve"> Hébergement</t>
  </si>
  <si>
    <t>Centre de santé LaMINE de Jouvence inc.</t>
  </si>
  <si>
    <t>R - C = B — Hébergement</t>
  </si>
  <si>
    <t>R - C = B — Nourriture</t>
  </si>
  <si>
    <t>R - C = B — Boisson</t>
  </si>
  <si>
    <t>R -C = B — P &amp; S complémentaire</t>
  </si>
  <si>
    <t>R - C = B — Total</t>
  </si>
  <si>
    <t>Le calcul des prix de vente du centre de santé LaMine de Jouvence inc. (exercice 4)</t>
  </si>
  <si>
    <t xml:space="preserve">Déonstration avec 0,5 unité vs 1 unité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</si>
</sst>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#,##0.00\ &quot;$&quot;_);\(#,##0.00\ &quot;$&quot;\)"/>
    <numFmt numFmtId="44" formatCode="_ * #,##0.00_)\ &quot;$&quot;_ ;_ * \(#,##0.00\)\ &quot;$&quot;_ ;_ * &quot;-&quot;??_)\ &quot;$&quot;_ ;_ @_ "/>
    <numFmt numFmtId="164" formatCode="#,##0.00\ &quot;$&quot;"/>
    <numFmt numFmtId="165" formatCode="[$-C0C]d\ mmm\ yyyy;@"/>
    <numFmt numFmtId="166" formatCode="_(&quot;$&quot;* #,##0.00_);_(&quot;$&quot;* \(#,##0.00\);_(&quot;$&quot;* &quot;-&quot;??_);_(@_)"/>
    <numFmt numFmtId="167" formatCode="#,##0.00&quot;$&quot;"/>
    <numFmt numFmtId="168" formatCode="#,##0\ &quot;$&quot;"/>
    <numFmt numFmtId="169" formatCode="_(&quot;$&quot;* #,##0_);_(&quot;$&quot;* \(#,##0\);_(&quot;$&quot;* &quot;-&quot;_);_(@_)"/>
    <numFmt numFmtId="170" formatCode="#,##0.0000"/>
  </numFmts>
  <fonts count="43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 val="singleAccounting"/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Accounting"/>
      <sz val="14"/>
      <color theme="1"/>
      <name val="Calibri"/>
      <family val="2"/>
      <scheme val="minor"/>
    </font>
    <font>
      <b/>
      <u val="doubleAccounting"/>
      <sz val="14"/>
      <color theme="0"/>
      <name val="Calibri"/>
      <family val="2"/>
      <scheme val="minor"/>
    </font>
    <font>
      <b/>
      <u val="doubleAccounting"/>
      <sz val="14"/>
      <color theme="1"/>
      <name val="Calibri"/>
      <family val="2"/>
      <scheme val="minor"/>
    </font>
    <font>
      <b/>
      <u val="double"/>
      <sz val="14"/>
      <color theme="0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u/>
      <sz val="10"/>
      <color theme="10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  <charset val="204"/>
    </font>
    <font>
      <b/>
      <u val="singleAccounting"/>
      <sz val="10"/>
      <name val="Arial"/>
      <family val="2"/>
    </font>
    <font>
      <b/>
      <sz val="10"/>
      <color rgb="FF0070C0"/>
      <name val="Arial"/>
      <family val="2"/>
      <charset val="204"/>
    </font>
    <font>
      <b/>
      <u/>
      <sz val="10"/>
      <name val="Arial"/>
      <family val="2"/>
      <charset val="204"/>
    </font>
    <font>
      <b/>
      <sz val="20"/>
      <name val="Arial"/>
      <family val="2"/>
    </font>
    <font>
      <b/>
      <sz val="10"/>
      <color indexed="9"/>
      <name val="Arial"/>
      <family val="2"/>
      <charset val="204"/>
    </font>
    <font>
      <sz val="10"/>
      <color indexed="9"/>
      <name val="Arial"/>
      <family val="2"/>
    </font>
    <font>
      <b/>
      <u val="doubleAccounting"/>
      <sz val="10"/>
      <color indexed="9"/>
      <name val="Arial"/>
      <family val="2"/>
      <charset val="204"/>
    </font>
    <font>
      <b/>
      <u val="double"/>
      <sz val="10"/>
      <color indexed="9"/>
      <name val="Arial"/>
      <family val="2"/>
      <charset val="204"/>
    </font>
    <font>
      <b/>
      <u val="doubleAccounting"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u val="double"/>
      <sz val="14"/>
      <color rgb="FF000000"/>
      <name val="Arial"/>
      <family val="2"/>
    </font>
    <font>
      <b/>
      <sz val="10"/>
      <color theme="0"/>
      <name val="Arial"/>
      <family val="2"/>
    </font>
    <font>
      <b/>
      <u val="singleAccounting"/>
      <sz val="10"/>
      <name val="Arial"/>
      <family val="2"/>
      <charset val="204"/>
    </font>
    <font>
      <b/>
      <u val="double"/>
      <sz val="10"/>
      <color theme="0"/>
      <name val="Arial"/>
      <family val="2"/>
    </font>
    <font>
      <sz val="10"/>
      <color theme="0"/>
      <name val="Arial"/>
      <family val="2"/>
    </font>
    <font>
      <sz val="19"/>
      <color rgb="FF000000"/>
      <name val="Verdana"/>
      <family val="2"/>
    </font>
    <font>
      <b/>
      <sz val="14"/>
      <color rgb="FF0070C0"/>
      <name val="Calibri"/>
      <family val="2"/>
      <scheme val="minor"/>
    </font>
    <font>
      <b/>
      <u val="double"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otted">
        <color auto="1"/>
      </bottom>
      <diagonal/>
    </border>
    <border>
      <left/>
      <right style="dotted">
        <color auto="1"/>
      </right>
      <top style="thick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tted">
        <color auto="1"/>
      </bottom>
      <diagonal/>
    </border>
    <border>
      <left style="thick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dotted">
        <color auto="1"/>
      </top>
      <bottom style="thick">
        <color auto="1"/>
      </bottom>
      <diagonal/>
    </border>
    <border>
      <left/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 style="dotted">
        <color auto="1"/>
      </diagonal>
    </border>
    <border>
      <left/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dotted">
        <color auto="1"/>
      </bottom>
      <diagonal/>
    </border>
    <border>
      <left style="dotted">
        <color auto="1"/>
      </left>
      <right style="thick">
        <color auto="1"/>
      </right>
      <top/>
      <bottom style="dotted">
        <color auto="1"/>
      </bottom>
      <diagonal/>
    </border>
    <border>
      <left style="thick">
        <color auto="1"/>
      </left>
      <right/>
      <top style="dotted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4">
    <xf numFmtId="0" fontId="0" fillId="0" borderId="0"/>
    <xf numFmtId="0" fontId="16" fillId="0" borderId="0"/>
    <xf numFmtId="0" fontId="19" fillId="0" borderId="0" applyNumberFormat="0" applyFill="0" applyBorder="0" applyAlignment="0" applyProtection="0"/>
    <xf numFmtId="166" fontId="16" fillId="0" borderId="0" applyFont="0" applyFill="0" applyBorder="0" applyAlignment="0" applyProtection="0"/>
  </cellStyleXfs>
  <cellXfs count="233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3" fillId="0" borderId="2" xfId="0" applyFont="1" applyBorder="1"/>
    <xf numFmtId="0" fontId="3" fillId="0" borderId="3" xfId="0" applyFont="1" applyBorder="1"/>
    <xf numFmtId="0" fontId="3" fillId="0" borderId="0" xfId="0" applyFont="1"/>
    <xf numFmtId="0" fontId="3" fillId="0" borderId="1" xfId="0" applyFont="1" applyBorder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0" xfId="0" applyFont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11" fillId="2" borderId="0" xfId="0" applyNumberFormat="1" applyFont="1" applyFill="1" applyAlignment="1">
      <alignment horizontal="center"/>
    </xf>
    <xf numFmtId="0" fontId="8" fillId="0" borderId="4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9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10" xfId="0" applyFont="1" applyBorder="1"/>
    <xf numFmtId="0" fontId="4" fillId="2" borderId="10" xfId="0" applyFont="1" applyFill="1" applyBorder="1"/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1" xfId="0" applyFont="1" applyBorder="1"/>
    <xf numFmtId="0" fontId="6" fillId="0" borderId="4" xfId="0" applyFont="1" applyBorder="1" applyAlignment="1">
      <alignment horizontal="center" wrapText="1"/>
    </xf>
    <xf numFmtId="164" fontId="5" fillId="2" borderId="4" xfId="0" applyNumberFormat="1" applyFont="1" applyFill="1" applyBorder="1" applyAlignment="1">
      <alignment horizontal="center"/>
    </xf>
    <xf numFmtId="0" fontId="4" fillId="0" borderId="10" xfId="0" applyFont="1" applyBorder="1"/>
    <xf numFmtId="0" fontId="4" fillId="2" borderId="1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16" fillId="0" borderId="7" xfId="1" applyBorder="1"/>
    <xf numFmtId="0" fontId="16" fillId="0" borderId="0" xfId="1"/>
    <xf numFmtId="164" fontId="17" fillId="0" borderId="0" xfId="1" applyNumberFormat="1" applyFont="1" applyAlignment="1">
      <alignment horizontal="center"/>
    </xf>
    <xf numFmtId="0" fontId="18" fillId="3" borderId="1" xfId="1" applyFont="1" applyFill="1" applyBorder="1" applyAlignment="1">
      <alignment horizontal="center"/>
    </xf>
    <xf numFmtId="0" fontId="16" fillId="0" borderId="4" xfId="1" applyBorder="1"/>
    <xf numFmtId="0" fontId="19" fillId="0" borderId="0" xfId="2"/>
    <xf numFmtId="0" fontId="16" fillId="0" borderId="0" xfId="1" applyAlignment="1">
      <alignment horizontal="center" vertical="center"/>
    </xf>
    <xf numFmtId="0" fontId="18" fillId="3" borderId="4" xfId="1" applyFont="1" applyFill="1" applyBorder="1" applyAlignment="1">
      <alignment horizontal="center" vertical="center"/>
    </xf>
    <xf numFmtId="0" fontId="20" fillId="4" borderId="6" xfId="1" applyFont="1" applyFill="1" applyBorder="1" applyAlignment="1">
      <alignment horizontal="center" vertical="center"/>
    </xf>
    <xf numFmtId="0" fontId="21" fillId="0" borderId="12" xfId="1" applyFont="1" applyBorder="1" applyAlignment="1">
      <alignment horizontal="left"/>
    </xf>
    <xf numFmtId="0" fontId="21" fillId="5" borderId="9" xfId="1" applyFont="1" applyFill="1" applyBorder="1" applyAlignment="1">
      <alignment horizontal="center"/>
    </xf>
    <xf numFmtId="0" fontId="16" fillId="0" borderId="10" xfId="1" applyBorder="1"/>
    <xf numFmtId="165" fontId="21" fillId="5" borderId="2" xfId="1" applyNumberFormat="1" applyFont="1" applyFill="1" applyBorder="1" applyAlignment="1">
      <alignment horizontal="center"/>
    </xf>
    <xf numFmtId="167" fontId="22" fillId="5" borderId="3" xfId="3" applyNumberFormat="1" applyFont="1" applyFill="1" applyBorder="1" applyAlignment="1">
      <alignment horizontal="center"/>
    </xf>
    <xf numFmtId="165" fontId="16" fillId="0" borderId="0" xfId="1" applyNumberFormat="1"/>
    <xf numFmtId="0" fontId="18" fillId="3" borderId="10" xfId="1" applyFont="1" applyFill="1" applyBorder="1" applyAlignment="1">
      <alignment horizontal="center"/>
    </xf>
    <xf numFmtId="1" fontId="23" fillId="5" borderId="0" xfId="1" applyNumberFormat="1" applyFont="1" applyFill="1" applyAlignment="1">
      <alignment horizontal="center"/>
    </xf>
    <xf numFmtId="1" fontId="18" fillId="5" borderId="5" xfId="1" applyNumberFormat="1" applyFont="1" applyFill="1" applyBorder="1" applyAlignment="1">
      <alignment horizontal="center"/>
    </xf>
    <xf numFmtId="0" fontId="17" fillId="3" borderId="0" xfId="1" applyFont="1" applyFill="1" applyAlignment="1">
      <alignment horizontal="center"/>
    </xf>
    <xf numFmtId="10" fontId="21" fillId="0" borderId="0" xfId="1" applyNumberFormat="1" applyFont="1"/>
    <xf numFmtId="0" fontId="21" fillId="5" borderId="10" xfId="1" applyFont="1" applyFill="1" applyBorder="1" applyAlignment="1">
      <alignment horizontal="center"/>
    </xf>
    <xf numFmtId="168" fontId="23" fillId="5" borderId="5" xfId="1" applyNumberFormat="1" applyFont="1" applyFill="1" applyBorder="1" applyAlignment="1">
      <alignment horizontal="center"/>
    </xf>
    <xf numFmtId="167" fontId="21" fillId="5" borderId="11" xfId="1" applyNumberFormat="1" applyFont="1" applyFill="1" applyBorder="1" applyAlignment="1">
      <alignment horizontal="center"/>
    </xf>
    <xf numFmtId="0" fontId="21" fillId="5" borderId="0" xfId="1" applyFont="1" applyFill="1" applyAlignment="1">
      <alignment horizontal="center"/>
    </xf>
    <xf numFmtId="0" fontId="17" fillId="5" borderId="5" xfId="1" applyFont="1" applyFill="1" applyBorder="1" applyAlignment="1">
      <alignment horizontal="center"/>
    </xf>
    <xf numFmtId="0" fontId="16" fillId="0" borderId="0" xfId="1" applyAlignment="1">
      <alignment horizontal="center"/>
    </xf>
    <xf numFmtId="0" fontId="24" fillId="0" borderId="13" xfId="1" applyFont="1" applyBorder="1"/>
    <xf numFmtId="0" fontId="16" fillId="6" borderId="14" xfId="1" applyFill="1" applyBorder="1"/>
    <xf numFmtId="10" fontId="16" fillId="6" borderId="15" xfId="1" applyNumberFormat="1" applyFill="1" applyBorder="1"/>
    <xf numFmtId="164" fontId="17" fillId="0" borderId="1" xfId="1" applyNumberFormat="1" applyFont="1" applyBorder="1" applyAlignment="1">
      <alignment horizontal="center"/>
    </xf>
    <xf numFmtId="10" fontId="16" fillId="0" borderId="16" xfId="1" applyNumberFormat="1" applyBorder="1"/>
    <xf numFmtId="0" fontId="16" fillId="7" borderId="3" xfId="1" applyFill="1" applyBorder="1"/>
    <xf numFmtId="0" fontId="16" fillId="0" borderId="17" xfId="1" applyBorder="1"/>
    <xf numFmtId="166" fontId="18" fillId="6" borderId="18" xfId="1" applyNumberFormat="1" applyFont="1" applyFill="1" applyBorder="1"/>
    <xf numFmtId="10" fontId="21" fillId="6" borderId="19" xfId="1" applyNumberFormat="1" applyFont="1" applyFill="1" applyBorder="1"/>
    <xf numFmtId="166" fontId="18" fillId="0" borderId="4" xfId="1" applyNumberFormat="1" applyFont="1" applyBorder="1"/>
    <xf numFmtId="10" fontId="21" fillId="0" borderId="20" xfId="1" applyNumberFormat="1" applyFont="1" applyBorder="1"/>
    <xf numFmtId="0" fontId="16" fillId="7" borderId="8" xfId="1" applyFill="1" applyBorder="1"/>
    <xf numFmtId="0" fontId="16" fillId="0" borderId="21" xfId="1" applyBorder="1"/>
    <xf numFmtId="166" fontId="17" fillId="0" borderId="4" xfId="1" applyNumberFormat="1" applyFont="1" applyBorder="1"/>
    <xf numFmtId="164" fontId="16" fillId="8" borderId="0" xfId="1" applyNumberFormat="1" applyFill="1" applyProtection="1">
      <protection locked="0"/>
    </xf>
    <xf numFmtId="0" fontId="16" fillId="8" borderId="0" xfId="1" applyFill="1"/>
    <xf numFmtId="0" fontId="16" fillId="0" borderId="22" xfId="1" applyBorder="1"/>
    <xf numFmtId="166" fontId="18" fillId="6" borderId="23" xfId="1" applyNumberFormat="1" applyFont="1" applyFill="1" applyBorder="1"/>
    <xf numFmtId="10" fontId="21" fillId="6" borderId="24" xfId="1" applyNumberFormat="1" applyFont="1" applyFill="1" applyBorder="1"/>
    <xf numFmtId="10" fontId="21" fillId="0" borderId="25" xfId="1" applyNumberFormat="1" applyFont="1" applyBorder="1"/>
    <xf numFmtId="164" fontId="16" fillId="7" borderId="2" xfId="1" applyNumberFormat="1" applyFill="1" applyBorder="1" applyProtection="1">
      <protection locked="0"/>
    </xf>
    <xf numFmtId="0" fontId="16" fillId="7" borderId="2" xfId="1" applyFill="1" applyBorder="1"/>
    <xf numFmtId="0" fontId="26" fillId="9" borderId="26" xfId="1" applyFont="1" applyFill="1" applyBorder="1"/>
    <xf numFmtId="0" fontId="27" fillId="0" borderId="10" xfId="1" applyFont="1" applyBorder="1"/>
    <xf numFmtId="166" fontId="28" fillId="9" borderId="12" xfId="1" applyNumberFormat="1" applyFont="1" applyFill="1" applyBorder="1"/>
    <xf numFmtId="10" fontId="29" fillId="9" borderId="27" xfId="1" applyNumberFormat="1" applyFont="1" applyFill="1" applyBorder="1"/>
    <xf numFmtId="166" fontId="30" fillId="2" borderId="26" xfId="1" applyNumberFormat="1" applyFont="1" applyFill="1" applyBorder="1"/>
    <xf numFmtId="10" fontId="29" fillId="9" borderId="28" xfId="1" applyNumberFormat="1" applyFont="1" applyFill="1" applyBorder="1"/>
    <xf numFmtId="164" fontId="16" fillId="7" borderId="0" xfId="1" applyNumberFormat="1" applyFill="1" applyProtection="1">
      <protection locked="0"/>
    </xf>
    <xf numFmtId="0" fontId="16" fillId="7" borderId="0" xfId="1" applyFill="1"/>
    <xf numFmtId="0" fontId="27" fillId="0" borderId="0" xfId="1" applyFont="1"/>
    <xf numFmtId="0" fontId="16" fillId="0" borderId="13" xfId="1" applyBorder="1"/>
    <xf numFmtId="166" fontId="0" fillId="6" borderId="14" xfId="3" applyFont="1" applyFill="1" applyBorder="1"/>
    <xf numFmtId="10" fontId="16" fillId="0" borderId="29" xfId="1" applyNumberFormat="1" applyBorder="1"/>
    <xf numFmtId="0" fontId="31" fillId="6" borderId="0" xfId="1" applyFont="1" applyFill="1"/>
    <xf numFmtId="0" fontId="32" fillId="6" borderId="17" xfId="1" applyFont="1" applyFill="1" applyBorder="1"/>
    <xf numFmtId="0" fontId="31" fillId="6" borderId="10" xfId="1" applyFont="1" applyFill="1" applyBorder="1"/>
    <xf numFmtId="166" fontId="20" fillId="6" borderId="18" xfId="3" applyFont="1" applyFill="1" applyBorder="1"/>
    <xf numFmtId="10" fontId="31" fillId="6" borderId="19" xfId="1" applyNumberFormat="1" applyFont="1" applyFill="1" applyBorder="1"/>
    <xf numFmtId="10" fontId="31" fillId="0" borderId="20" xfId="1" applyNumberFormat="1" applyFont="1" applyBorder="1"/>
    <xf numFmtId="164" fontId="33" fillId="7" borderId="4" xfId="1" applyNumberFormat="1" applyFont="1" applyFill="1" applyBorder="1" applyAlignment="1" applyProtection="1">
      <alignment horizontal="center"/>
      <protection hidden="1"/>
    </xf>
    <xf numFmtId="164" fontId="33" fillId="7" borderId="0" xfId="1" applyNumberFormat="1" applyFont="1" applyFill="1" applyAlignment="1" applyProtection="1">
      <alignment horizontal="center"/>
      <protection hidden="1"/>
    </xf>
    <xf numFmtId="10" fontId="33" fillId="7" borderId="0" xfId="1" applyNumberFormat="1" applyFont="1" applyFill="1" applyAlignment="1" applyProtection="1">
      <alignment horizontal="center"/>
      <protection hidden="1"/>
    </xf>
    <xf numFmtId="164" fontId="17" fillId="7" borderId="5" xfId="1" applyNumberFormat="1" applyFont="1" applyFill="1" applyBorder="1" applyAlignment="1">
      <alignment horizontal="center"/>
    </xf>
    <xf numFmtId="169" fontId="16" fillId="0" borderId="0" xfId="1" applyNumberFormat="1"/>
    <xf numFmtId="166" fontId="0" fillId="6" borderId="18" xfId="3" applyFont="1" applyFill="1" applyBorder="1"/>
    <xf numFmtId="10" fontId="16" fillId="6" borderId="19" xfId="1" applyNumberFormat="1" applyFill="1" applyBorder="1"/>
    <xf numFmtId="10" fontId="16" fillId="0" borderId="20" xfId="1" applyNumberFormat="1" applyBorder="1"/>
    <xf numFmtId="0" fontId="33" fillId="7" borderId="4" xfId="1" applyFont="1" applyFill="1" applyBorder="1" applyAlignment="1" applyProtection="1">
      <alignment horizontal="center"/>
      <protection hidden="1"/>
    </xf>
    <xf numFmtId="0" fontId="33" fillId="7" borderId="0" xfId="1" applyFont="1" applyFill="1" applyAlignment="1" applyProtection="1">
      <alignment horizontal="center"/>
      <protection hidden="1"/>
    </xf>
    <xf numFmtId="0" fontId="21" fillId="0" borderId="17" xfId="1" applyFont="1" applyBorder="1"/>
    <xf numFmtId="166" fontId="31" fillId="6" borderId="18" xfId="3" applyFont="1" applyFill="1" applyBorder="1"/>
    <xf numFmtId="166" fontId="32" fillId="0" borderId="17" xfId="3" applyFont="1" applyFill="1" applyBorder="1" applyAlignment="1"/>
    <xf numFmtId="0" fontId="16" fillId="7" borderId="4" xfId="1" applyFill="1" applyBorder="1"/>
    <xf numFmtId="10" fontId="34" fillId="7" borderId="4" xfId="1" applyNumberFormat="1" applyFont="1" applyFill="1" applyBorder="1" applyAlignment="1" applyProtection="1">
      <alignment horizontal="center"/>
      <protection hidden="1"/>
    </xf>
    <xf numFmtId="170" fontId="34" fillId="7" borderId="0" xfId="1" applyNumberFormat="1" applyFont="1" applyFill="1" applyAlignment="1" applyProtection="1">
      <alignment horizontal="center"/>
      <protection hidden="1"/>
    </xf>
    <xf numFmtId="10" fontId="34" fillId="7" borderId="0" xfId="1" applyNumberFormat="1" applyFont="1" applyFill="1" applyAlignment="1" applyProtection="1">
      <alignment horizontal="center"/>
      <protection hidden="1"/>
    </xf>
    <xf numFmtId="10" fontId="35" fillId="7" borderId="30" xfId="1" applyNumberFormat="1" applyFont="1" applyFill="1" applyBorder="1" applyAlignment="1" applyProtection="1">
      <alignment horizontal="center"/>
      <protection hidden="1"/>
    </xf>
    <xf numFmtId="0" fontId="21" fillId="0" borderId="10" xfId="1" applyFont="1" applyBorder="1"/>
    <xf numFmtId="166" fontId="18" fillId="6" borderId="18" xfId="3" applyFont="1" applyFill="1" applyBorder="1"/>
    <xf numFmtId="164" fontId="33" fillId="7" borderId="6" xfId="1" applyNumberFormat="1" applyFont="1" applyFill="1" applyBorder="1" applyAlignment="1" applyProtection="1">
      <alignment horizontal="center"/>
      <protection hidden="1"/>
    </xf>
    <xf numFmtId="164" fontId="33" fillId="7" borderId="7" xfId="1" applyNumberFormat="1" applyFont="1" applyFill="1" applyBorder="1" applyAlignment="1" applyProtection="1">
      <alignment horizontal="center"/>
      <protection hidden="1"/>
    </xf>
    <xf numFmtId="164" fontId="17" fillId="7" borderId="8" xfId="1" applyNumberFormat="1" applyFont="1" applyFill="1" applyBorder="1" applyAlignment="1">
      <alignment horizontal="center"/>
    </xf>
    <xf numFmtId="166" fontId="21" fillId="6" borderId="18" xfId="3" applyFont="1" applyFill="1" applyBorder="1"/>
    <xf numFmtId="0" fontId="21" fillId="0" borderId="0" xfId="1" applyFont="1"/>
    <xf numFmtId="166" fontId="0" fillId="6" borderId="23" xfId="3" applyFont="1" applyFill="1" applyBorder="1"/>
    <xf numFmtId="10" fontId="16" fillId="6" borderId="24" xfId="1" applyNumberFormat="1" applyFill="1" applyBorder="1"/>
    <xf numFmtId="10" fontId="16" fillId="0" borderId="25" xfId="1" applyNumberFormat="1" applyBorder="1"/>
    <xf numFmtId="166" fontId="26" fillId="9" borderId="12" xfId="3" applyFont="1" applyFill="1" applyBorder="1"/>
    <xf numFmtId="10" fontId="26" fillId="9" borderId="27" xfId="1" applyNumberFormat="1" applyFont="1" applyFill="1" applyBorder="1"/>
    <xf numFmtId="166" fontId="36" fillId="2" borderId="26" xfId="1" applyNumberFormat="1" applyFont="1" applyFill="1" applyBorder="1"/>
    <xf numFmtId="10" fontId="26" fillId="9" borderId="28" xfId="1" applyNumberFormat="1" applyFont="1" applyFill="1" applyBorder="1"/>
    <xf numFmtId="0" fontId="26" fillId="0" borderId="0" xfId="1" applyFont="1"/>
    <xf numFmtId="0" fontId="16" fillId="6" borderId="17" xfId="1" applyFill="1" applyBorder="1"/>
    <xf numFmtId="0" fontId="16" fillId="6" borderId="10" xfId="1" applyFill="1" applyBorder="1"/>
    <xf numFmtId="164" fontId="16" fillId="0" borderId="20" xfId="1" applyNumberFormat="1" applyBorder="1"/>
    <xf numFmtId="0" fontId="24" fillId="0" borderId="17" xfId="1" applyFont="1" applyBorder="1"/>
    <xf numFmtId="166" fontId="37" fillId="6" borderId="18" xfId="3" applyFont="1" applyFill="1" applyBorder="1"/>
    <xf numFmtId="10" fontId="24" fillId="6" borderId="19" xfId="3" applyNumberFormat="1" applyFont="1" applyFill="1" applyBorder="1"/>
    <xf numFmtId="166" fontId="37" fillId="6" borderId="18" xfId="3" applyFont="1" applyFill="1" applyBorder="1" applyAlignment="1"/>
    <xf numFmtId="10" fontId="24" fillId="0" borderId="20" xfId="3" applyNumberFormat="1" applyFont="1" applyFill="1" applyBorder="1"/>
    <xf numFmtId="0" fontId="21" fillId="0" borderId="21" xfId="1" applyFont="1" applyBorder="1"/>
    <xf numFmtId="166" fontId="38" fillId="2" borderId="26" xfId="1" applyNumberFormat="1" applyFont="1" applyFill="1" applyBorder="1"/>
    <xf numFmtId="10" fontId="29" fillId="9" borderId="31" xfId="1" applyNumberFormat="1" applyFont="1" applyFill="1" applyBorder="1"/>
    <xf numFmtId="0" fontId="17" fillId="0" borderId="4" xfId="1" applyFont="1" applyBorder="1"/>
    <xf numFmtId="166" fontId="32" fillId="0" borderId="4" xfId="1" applyNumberFormat="1" applyFont="1" applyBorder="1"/>
    <xf numFmtId="0" fontId="26" fillId="9" borderId="6" xfId="1" applyFont="1" applyFill="1" applyBorder="1"/>
    <xf numFmtId="166" fontId="28" fillId="9" borderId="7" xfId="3" applyFont="1" applyFill="1" applyBorder="1"/>
    <xf numFmtId="10" fontId="29" fillId="9" borderId="8" xfId="1" applyNumberFormat="1" applyFont="1" applyFill="1" applyBorder="1"/>
    <xf numFmtId="169" fontId="39" fillId="2" borderId="0" xfId="1" applyNumberFormat="1" applyFont="1" applyFill="1"/>
    <xf numFmtId="0" fontId="16" fillId="0" borderId="2" xfId="1" applyBorder="1"/>
    <xf numFmtId="0" fontId="16" fillId="0" borderId="12" xfId="1" applyBorder="1"/>
    <xf numFmtId="0" fontId="16" fillId="10" borderId="0" xfId="1" applyFill="1"/>
    <xf numFmtId="0" fontId="16" fillId="0" borderId="5" xfId="1" applyBorder="1"/>
    <xf numFmtId="0" fontId="21" fillId="6" borderId="32" xfId="1" applyFont="1" applyFill="1" applyBorder="1"/>
    <xf numFmtId="9" fontId="18" fillId="6" borderId="33" xfId="1" applyNumberFormat="1" applyFont="1" applyFill="1" applyBorder="1" applyAlignment="1">
      <alignment horizontal="center"/>
    </xf>
    <xf numFmtId="166" fontId="16" fillId="0" borderId="0" xfId="1" applyNumberFormat="1"/>
    <xf numFmtId="10" fontId="16" fillId="0" borderId="0" xfId="1" applyNumberFormat="1"/>
    <xf numFmtId="0" fontId="40" fillId="0" borderId="0" xfId="1" applyFont="1"/>
    <xf numFmtId="0" fontId="16" fillId="7" borderId="5" xfId="1" applyFill="1" applyBorder="1"/>
    <xf numFmtId="10" fontId="17" fillId="6" borderId="35" xfId="1" applyNumberFormat="1" applyFont="1" applyFill="1" applyBorder="1"/>
    <xf numFmtId="164" fontId="33" fillId="7" borderId="0" xfId="1" applyNumberFormat="1" applyFont="1" applyFill="1" applyAlignment="1" applyProtection="1">
      <alignment horizontal="center" wrapText="1"/>
      <protection hidden="1"/>
    </xf>
    <xf numFmtId="166" fontId="3" fillId="6" borderId="18" xfId="3" applyFont="1" applyFill="1" applyBorder="1"/>
    <xf numFmtId="0" fontId="16" fillId="0" borderId="36" xfId="1" applyBorder="1"/>
    <xf numFmtId="0" fontId="26" fillId="9" borderId="37" xfId="1" applyFont="1" applyFill="1" applyBorder="1"/>
    <xf numFmtId="166" fontId="16" fillId="6" borderId="38" xfId="3" applyFont="1" applyFill="1" applyBorder="1"/>
    <xf numFmtId="166" fontId="0" fillId="6" borderId="39" xfId="3" applyFont="1" applyFill="1" applyBorder="1"/>
    <xf numFmtId="166" fontId="28" fillId="9" borderId="37" xfId="3" applyFont="1" applyFill="1" applyBorder="1"/>
    <xf numFmtId="10" fontId="29" fillId="9" borderId="37" xfId="1" applyNumberFormat="1" applyFont="1" applyFill="1" applyBorder="1"/>
    <xf numFmtId="164" fontId="41" fillId="0" borderId="0" xfId="0" applyNumberFormat="1" applyFont="1" applyAlignment="1">
      <alignment horizontal="center"/>
    </xf>
    <xf numFmtId="0" fontId="16" fillId="0" borderId="34" xfId="1" applyBorder="1"/>
    <xf numFmtId="44" fontId="16" fillId="0" borderId="4" xfId="1" applyNumberFormat="1" applyBorder="1"/>
    <xf numFmtId="164" fontId="16" fillId="0" borderId="0" xfId="1" applyNumberFormat="1" applyAlignment="1">
      <alignment horizontal="center"/>
    </xf>
    <xf numFmtId="164" fontId="42" fillId="0" borderId="0" xfId="1" applyNumberFormat="1" applyFont="1" applyAlignment="1">
      <alignment horizontal="center"/>
    </xf>
    <xf numFmtId="7" fontId="17" fillId="0" borderId="26" xfId="1" applyNumberFormat="1" applyFont="1" applyBorder="1" applyAlignment="1">
      <alignment horizontal="center"/>
    </xf>
    <xf numFmtId="0" fontId="14" fillId="2" borderId="0" xfId="0" applyFont="1" applyFill="1" applyAlignment="1">
      <alignment wrapText="1"/>
    </xf>
    <xf numFmtId="0" fontId="15" fillId="2" borderId="0" xfId="0" applyFont="1" applyFill="1" applyAlignment="1">
      <alignment wrapText="1"/>
    </xf>
    <xf numFmtId="0" fontId="17" fillId="0" borderId="12" xfId="1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64" fontId="16" fillId="7" borderId="3" xfId="1" applyNumberFormat="1" applyFill="1" applyBorder="1" applyAlignment="1" applyProtection="1">
      <alignment horizontal="center" vertical="center" wrapText="1"/>
      <protection locked="0"/>
    </xf>
    <xf numFmtId="164" fontId="16" fillId="7" borderId="5" xfId="1" applyNumberFormat="1" applyFill="1" applyBorder="1" applyAlignment="1" applyProtection="1">
      <alignment horizontal="center" vertical="center" wrapText="1"/>
      <protection locked="0"/>
    </xf>
    <xf numFmtId="164" fontId="17" fillId="3" borderId="1" xfId="1" applyNumberFormat="1" applyFont="1" applyFill="1" applyBorder="1" applyAlignment="1">
      <alignment horizontal="center" vertical="center" wrapText="1"/>
    </xf>
    <xf numFmtId="0" fontId="16" fillId="0" borderId="3" xfId="1" applyBorder="1" applyAlignment="1">
      <alignment horizontal="center" vertical="center" wrapText="1"/>
    </xf>
    <xf numFmtId="164" fontId="16" fillId="0" borderId="4" xfId="1" applyNumberFormat="1" applyBorder="1" applyAlignment="1">
      <alignment horizontal="center" vertical="center" wrapText="1"/>
    </xf>
    <xf numFmtId="0" fontId="16" fillId="0" borderId="5" xfId="1" applyBorder="1" applyAlignment="1">
      <alignment horizontal="center" vertical="center" wrapText="1"/>
    </xf>
    <xf numFmtId="164" fontId="16" fillId="0" borderId="6" xfId="1" applyNumberFormat="1" applyBorder="1" applyAlignment="1">
      <alignment horizontal="center" vertical="center" wrapText="1"/>
    </xf>
    <xf numFmtId="0" fontId="16" fillId="0" borderId="8" xfId="1" applyBorder="1" applyAlignment="1">
      <alignment horizontal="center" vertical="center" wrapText="1"/>
    </xf>
    <xf numFmtId="0" fontId="25" fillId="7" borderId="1" xfId="1" applyFont="1" applyFill="1" applyBorder="1" applyAlignment="1" applyProtection="1">
      <alignment horizontal="center" vertical="center" wrapText="1"/>
      <protection hidden="1"/>
    </xf>
    <xf numFmtId="0" fontId="25" fillId="7" borderId="2" xfId="1" applyFont="1" applyFill="1" applyBorder="1" applyAlignment="1" applyProtection="1">
      <alignment horizontal="center" vertical="center" wrapText="1"/>
      <protection hidden="1"/>
    </xf>
    <xf numFmtId="0" fontId="25" fillId="7" borderId="4" xfId="1" applyFont="1" applyFill="1" applyBorder="1" applyAlignment="1" applyProtection="1">
      <alignment horizontal="center" vertical="center" wrapText="1"/>
      <protection hidden="1"/>
    </xf>
    <xf numFmtId="0" fontId="25" fillId="7" borderId="0" xfId="1" applyFont="1" applyFill="1" applyAlignment="1" applyProtection="1">
      <alignment horizontal="center" vertical="center" wrapText="1"/>
      <protection hidden="1"/>
    </xf>
    <xf numFmtId="0" fontId="25" fillId="7" borderId="6" xfId="1" applyFont="1" applyFill="1" applyBorder="1" applyAlignment="1" applyProtection="1">
      <alignment horizontal="center" vertical="center" wrapText="1"/>
      <protection hidden="1"/>
    </xf>
    <xf numFmtId="0" fontId="25" fillId="7" borderId="7" xfId="1" applyFont="1" applyFill="1" applyBorder="1" applyAlignment="1" applyProtection="1">
      <alignment horizontal="center" vertical="center" wrapText="1"/>
      <protection hidden="1"/>
    </xf>
    <xf numFmtId="164" fontId="17" fillId="7" borderId="1" xfId="1" applyNumberFormat="1" applyFont="1" applyFill="1" applyBorder="1" applyAlignment="1" applyProtection="1">
      <alignment horizontal="center" vertical="center" wrapText="1"/>
      <protection locked="0"/>
    </xf>
    <xf numFmtId="164" fontId="17" fillId="7" borderId="4" xfId="1" applyNumberFormat="1" applyFont="1" applyFill="1" applyBorder="1" applyAlignment="1" applyProtection="1">
      <alignment horizontal="center" vertical="center" wrapText="1"/>
      <protection locked="0"/>
    </xf>
    <xf numFmtId="164" fontId="17" fillId="7" borderId="2" xfId="1" applyNumberFormat="1" applyFont="1" applyFill="1" applyBorder="1" applyAlignment="1" applyProtection="1">
      <alignment horizontal="center" vertical="center" wrapText="1"/>
      <protection locked="0"/>
    </xf>
    <xf numFmtId="164" fontId="17" fillId="7" borderId="0" xfId="1" applyNumberFormat="1" applyFont="1" applyFill="1" applyAlignment="1" applyProtection="1">
      <alignment horizontal="center" vertical="center" wrapText="1"/>
      <protection locked="0"/>
    </xf>
    <xf numFmtId="164" fontId="0" fillId="0" borderId="0" xfId="0" applyNumberFormat="1"/>
    <xf numFmtId="0" fontId="7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</cellXfs>
  <cellStyles count="4">
    <cellStyle name="Lien hypertexte 2" xfId="2" xr:uid="{366EC794-8210-244E-9CFB-E5CAD31E9F81}"/>
    <cellStyle name="Monétaire 2" xfId="3" xr:uid="{26B77E94-FA6A-0643-87CA-42E1EC229BBC}"/>
    <cellStyle name="Normal" xfId="0" builtinId="0"/>
    <cellStyle name="Normal 2" xfId="1" xr:uid="{79549C1F-F9F2-FF4C-B2F8-6AB36C369F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9EF86-33F0-BE43-9269-F754BA39EE10}">
  <dimension ref="B2:AR3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33" sqref="F33"/>
    </sheetView>
  </sheetViews>
  <sheetFormatPr baseColWidth="10" defaultRowHeight="16" x14ac:dyDescent="0.2"/>
  <cols>
    <col min="1" max="1" width="8.33203125" customWidth="1"/>
    <col min="2" max="2" width="35.6640625" customWidth="1"/>
    <col min="3" max="3" width="5.83203125" customWidth="1"/>
    <col min="4" max="4" width="19.83203125" customWidth="1"/>
    <col min="5" max="5" width="5.6640625" customWidth="1"/>
    <col min="6" max="6" width="11" bestFit="1" customWidth="1"/>
    <col min="9" max="9" width="11" bestFit="1" customWidth="1"/>
    <col min="11" max="11" width="11" bestFit="1" customWidth="1"/>
    <col min="13" max="13" width="5.83203125" customWidth="1"/>
    <col min="14" max="14" width="20.6640625" customWidth="1"/>
    <col min="23" max="23" width="5.83203125" customWidth="1"/>
    <col min="24" max="24" width="17" customWidth="1"/>
  </cols>
  <sheetData>
    <row r="2" spans="2:33" ht="26" x14ac:dyDescent="0.3">
      <c r="B2" s="206" t="s">
        <v>17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2:33" ht="25" thickBot="1" x14ac:dyDescent="0.35">
      <c r="B3" s="2"/>
      <c r="C3" s="2"/>
      <c r="D3" s="2"/>
      <c r="E3" s="2"/>
      <c r="F3" s="2"/>
      <c r="G3" s="2"/>
      <c r="H3" s="2"/>
      <c r="I3" s="2"/>
    </row>
    <row r="4" spans="2:33" ht="25" thickTop="1" x14ac:dyDescent="0.3">
      <c r="B4" s="52"/>
      <c r="C4" s="53"/>
      <c r="D4" s="7"/>
      <c r="E4" s="8"/>
      <c r="F4" s="8"/>
      <c r="G4" s="8"/>
      <c r="H4" s="8"/>
      <c r="I4" s="8"/>
      <c r="J4" s="9"/>
      <c r="K4" s="9"/>
      <c r="L4" s="10"/>
      <c r="M4" s="11"/>
      <c r="N4" s="12"/>
      <c r="O4" s="9"/>
      <c r="P4" s="9"/>
      <c r="Q4" s="9"/>
      <c r="R4" s="9"/>
      <c r="S4" s="9"/>
      <c r="T4" s="9"/>
      <c r="U4" s="9"/>
      <c r="V4" s="10"/>
      <c r="W4" s="11"/>
      <c r="X4" s="12"/>
      <c r="Y4" s="9"/>
      <c r="Z4" s="9"/>
      <c r="AA4" s="9"/>
      <c r="AB4" s="9"/>
      <c r="AC4" s="9"/>
      <c r="AD4" s="9"/>
      <c r="AE4" s="9"/>
      <c r="AF4" s="10"/>
      <c r="AG4" s="11"/>
    </row>
    <row r="5" spans="2:33" ht="31" x14ac:dyDescent="0.35">
      <c r="B5" s="53"/>
      <c r="C5" s="53"/>
      <c r="D5" s="60" t="s">
        <v>27</v>
      </c>
      <c r="E5" s="13" t="s">
        <v>2</v>
      </c>
      <c r="F5" s="13" t="s">
        <v>3</v>
      </c>
      <c r="G5" s="13" t="s">
        <v>4</v>
      </c>
      <c r="H5" s="13" t="s">
        <v>5</v>
      </c>
      <c r="I5" s="13" t="s">
        <v>6</v>
      </c>
      <c r="J5" s="14" t="s">
        <v>4</v>
      </c>
      <c r="K5" s="14" t="s">
        <v>7</v>
      </c>
      <c r="L5" s="15" t="s">
        <v>8</v>
      </c>
      <c r="M5" s="64" t="s">
        <v>10</v>
      </c>
      <c r="N5" s="16" t="s">
        <v>11</v>
      </c>
      <c r="O5" s="14" t="s">
        <v>2</v>
      </c>
      <c r="P5" s="14" t="s">
        <v>3</v>
      </c>
      <c r="Q5" s="14" t="s">
        <v>4</v>
      </c>
      <c r="R5" s="14" t="s">
        <v>5</v>
      </c>
      <c r="S5" s="14" t="s">
        <v>6</v>
      </c>
      <c r="T5" s="14" t="s">
        <v>4</v>
      </c>
      <c r="U5" s="14" t="s">
        <v>12</v>
      </c>
      <c r="V5" s="15" t="s">
        <v>8</v>
      </c>
      <c r="W5" s="64" t="s">
        <v>2</v>
      </c>
      <c r="X5" s="16" t="s">
        <v>0</v>
      </c>
      <c r="Y5" s="14" t="s">
        <v>2</v>
      </c>
      <c r="Z5" s="14" t="s">
        <v>3</v>
      </c>
      <c r="AA5" s="14" t="s">
        <v>4</v>
      </c>
      <c r="AB5" s="14" t="s">
        <v>5</v>
      </c>
      <c r="AC5" s="14" t="s">
        <v>6</v>
      </c>
      <c r="AD5" s="14" t="s">
        <v>4</v>
      </c>
      <c r="AE5" s="14" t="s">
        <v>13</v>
      </c>
      <c r="AF5" s="15" t="s">
        <v>8</v>
      </c>
      <c r="AG5" s="11"/>
    </row>
    <row r="6" spans="2:33" x14ac:dyDescent="0.2">
      <c r="B6" s="54"/>
      <c r="C6" s="54"/>
      <c r="D6" s="17"/>
      <c r="E6" s="11"/>
      <c r="F6" s="11"/>
      <c r="G6" s="11"/>
      <c r="H6" s="11"/>
      <c r="I6" s="11"/>
      <c r="J6" s="11"/>
      <c r="K6" s="11"/>
      <c r="L6" s="18"/>
      <c r="M6" s="11"/>
      <c r="N6" s="19"/>
      <c r="O6" s="20"/>
      <c r="P6" s="20"/>
      <c r="Q6" s="20"/>
      <c r="R6" s="20"/>
      <c r="S6" s="20"/>
      <c r="T6" s="20"/>
      <c r="U6" s="20"/>
      <c r="V6" s="21"/>
      <c r="W6" s="20"/>
      <c r="X6" s="19"/>
      <c r="Y6" s="20"/>
      <c r="Z6" s="20"/>
      <c r="AA6" s="20"/>
      <c r="AB6" s="20"/>
      <c r="AC6" s="20"/>
      <c r="AD6" s="20"/>
      <c r="AE6" s="20"/>
      <c r="AF6" s="21"/>
      <c r="AG6" s="20"/>
    </row>
    <row r="7" spans="2:33" ht="22" x14ac:dyDescent="0.4">
      <c r="B7" s="63" t="s">
        <v>75</v>
      </c>
      <c r="C7" s="62"/>
      <c r="D7" s="61">
        <f>F7*I7*K7</f>
        <v>5124000</v>
      </c>
      <c r="E7" s="4" t="str">
        <f>E5</f>
        <v>=</v>
      </c>
      <c r="F7" s="4">
        <f>36600*2</f>
        <v>73200</v>
      </c>
      <c r="G7" s="4" t="str">
        <f>+G5</f>
        <v>x</v>
      </c>
      <c r="H7" s="4" t="str">
        <f>H5</f>
        <v>(</v>
      </c>
      <c r="I7" s="4">
        <v>0.5</v>
      </c>
      <c r="J7" s="4" t="str">
        <f>J5</f>
        <v>x</v>
      </c>
      <c r="K7" s="5">
        <v>140</v>
      </c>
      <c r="L7" s="6" t="str">
        <f>L5</f>
        <v>)</v>
      </c>
      <c r="M7" s="22"/>
      <c r="N7" s="36">
        <f>+P7*S7*U7</f>
        <v>3660000</v>
      </c>
      <c r="O7" s="4" t="str">
        <f>E7</f>
        <v>=</v>
      </c>
      <c r="P7" s="4">
        <f>F7</f>
        <v>73200</v>
      </c>
      <c r="Q7" s="4" t="str">
        <f>G7</f>
        <v>x</v>
      </c>
      <c r="R7" s="4" t="str">
        <f>H7</f>
        <v>(</v>
      </c>
      <c r="S7" s="4">
        <f>I7</f>
        <v>0.5</v>
      </c>
      <c r="T7" s="4" t="str">
        <f>Q7</f>
        <v>x</v>
      </c>
      <c r="U7" s="5">
        <v>100</v>
      </c>
      <c r="V7" s="6" t="str">
        <f>L7</f>
        <v>)</v>
      </c>
      <c r="W7" s="20"/>
      <c r="X7" s="36">
        <f>+Z7*AC7*AE7</f>
        <v>1464000</v>
      </c>
      <c r="Y7" s="4" t="str">
        <f>O7</f>
        <v>=</v>
      </c>
      <c r="Z7" s="4">
        <f>P7</f>
        <v>73200</v>
      </c>
      <c r="AA7" s="4" t="str">
        <f>Q7</f>
        <v>x</v>
      </c>
      <c r="AB7" s="4" t="str">
        <f>R7</f>
        <v>(</v>
      </c>
      <c r="AC7" s="4">
        <f>S7</f>
        <v>0.5</v>
      </c>
      <c r="AD7" s="4" t="str">
        <f>AA7</f>
        <v>x</v>
      </c>
      <c r="AE7" s="5">
        <f>K7-U7</f>
        <v>40</v>
      </c>
      <c r="AF7" s="6" t="str">
        <f>V7</f>
        <v>)</v>
      </c>
      <c r="AG7" s="20"/>
    </row>
    <row r="8" spans="2:33" ht="19" x14ac:dyDescent="0.25">
      <c r="B8" s="56"/>
      <c r="C8" s="56"/>
      <c r="D8" s="26"/>
      <c r="E8" s="22"/>
      <c r="F8" s="22"/>
      <c r="G8" s="22"/>
      <c r="H8" s="22"/>
      <c r="I8" s="22"/>
      <c r="J8" s="22"/>
      <c r="K8" s="24"/>
      <c r="L8" s="25"/>
      <c r="M8" s="22"/>
      <c r="N8" s="26"/>
      <c r="O8" s="22"/>
      <c r="P8" s="22"/>
      <c r="Q8" s="22"/>
      <c r="R8" s="22"/>
      <c r="S8" s="22"/>
      <c r="T8" s="22"/>
      <c r="U8" s="24"/>
      <c r="V8" s="25"/>
      <c r="W8" s="20"/>
      <c r="X8" s="26"/>
      <c r="Y8" s="22"/>
      <c r="Z8" s="22"/>
      <c r="AA8" s="22"/>
      <c r="AB8" s="22"/>
      <c r="AC8" s="22"/>
      <c r="AD8" s="22"/>
      <c r="AE8" s="24"/>
      <c r="AF8" s="25"/>
      <c r="AG8" s="20"/>
    </row>
    <row r="9" spans="2:33" ht="19" x14ac:dyDescent="0.25">
      <c r="B9" s="56" t="s">
        <v>21</v>
      </c>
      <c r="C9" s="56"/>
      <c r="D9" s="23">
        <f>F9*I9*K9</f>
        <v>1171200</v>
      </c>
      <c r="E9" s="22" t="str">
        <f>E7</f>
        <v>=</v>
      </c>
      <c r="F9" s="22">
        <f>+F7</f>
        <v>73200</v>
      </c>
      <c r="G9" s="22" t="str">
        <f>G7</f>
        <v>x</v>
      </c>
      <c r="H9" s="22" t="str">
        <f>H7</f>
        <v>(</v>
      </c>
      <c r="I9" s="22">
        <v>1</v>
      </c>
      <c r="J9" s="22" t="str">
        <f>J7</f>
        <v>x</v>
      </c>
      <c r="K9" s="200">
        <f>4/0.25</f>
        <v>16</v>
      </c>
      <c r="L9" s="25" t="str">
        <f>L7</f>
        <v>)</v>
      </c>
      <c r="M9" s="22"/>
      <c r="N9" s="23">
        <f>+P9*S9*U9</f>
        <v>1024800</v>
      </c>
      <c r="O9" s="22" t="str">
        <f t="shared" ref="O9:S11" si="0">E9</f>
        <v>=</v>
      </c>
      <c r="P9" s="22">
        <f t="shared" si="0"/>
        <v>73200</v>
      </c>
      <c r="Q9" s="22" t="str">
        <f t="shared" si="0"/>
        <v>x</v>
      </c>
      <c r="R9" s="22" t="str">
        <f t="shared" si="0"/>
        <v>(</v>
      </c>
      <c r="S9" s="22">
        <f t="shared" si="0"/>
        <v>1</v>
      </c>
      <c r="T9" s="22" t="str">
        <f>Q9</f>
        <v>x</v>
      </c>
      <c r="U9" s="200">
        <v>14</v>
      </c>
      <c r="V9" s="25" t="str">
        <f>L9</f>
        <v>)</v>
      </c>
      <c r="W9" s="20"/>
      <c r="X9" s="23">
        <f>+Z9*AC9*AE9</f>
        <v>146400</v>
      </c>
      <c r="Y9" s="22" t="str">
        <f t="shared" ref="Y9:AC11" si="1">O9</f>
        <v>=</v>
      </c>
      <c r="Z9" s="22">
        <f t="shared" si="1"/>
        <v>73200</v>
      </c>
      <c r="AA9" s="22" t="str">
        <f t="shared" si="1"/>
        <v>x</v>
      </c>
      <c r="AB9" s="22" t="str">
        <f t="shared" si="1"/>
        <v>(</v>
      </c>
      <c r="AC9" s="22">
        <f t="shared" si="1"/>
        <v>1</v>
      </c>
      <c r="AD9" s="22" t="str">
        <f>AA9</f>
        <v>x</v>
      </c>
      <c r="AE9" s="24">
        <f>K9-U9</f>
        <v>2</v>
      </c>
      <c r="AF9" s="25" t="str">
        <f>V9</f>
        <v>)</v>
      </c>
      <c r="AG9" s="20"/>
    </row>
    <row r="10" spans="2:33" ht="19" x14ac:dyDescent="0.25">
      <c r="B10" s="56" t="s">
        <v>22</v>
      </c>
      <c r="C10" s="56"/>
      <c r="D10" s="23">
        <f>F10*I10*K10</f>
        <v>2049600</v>
      </c>
      <c r="E10" s="22" t="str">
        <f t="shared" ref="E10:H11" si="2">E9</f>
        <v>=</v>
      </c>
      <c r="F10" s="22">
        <f t="shared" si="2"/>
        <v>73200</v>
      </c>
      <c r="G10" s="22" t="str">
        <f t="shared" si="2"/>
        <v>x</v>
      </c>
      <c r="H10" s="22" t="str">
        <f t="shared" si="2"/>
        <v>(</v>
      </c>
      <c r="I10" s="22">
        <v>1</v>
      </c>
      <c r="J10" s="22" t="str">
        <f>J9</f>
        <v>x</v>
      </c>
      <c r="K10" s="200">
        <f>7/0.25</f>
        <v>28</v>
      </c>
      <c r="L10" s="25" t="str">
        <f>L9</f>
        <v>)</v>
      </c>
      <c r="M10" s="22"/>
      <c r="N10" s="23">
        <f>+P10*S10*U10</f>
        <v>1830000</v>
      </c>
      <c r="O10" s="22" t="str">
        <f t="shared" si="0"/>
        <v>=</v>
      </c>
      <c r="P10" s="22">
        <f t="shared" si="0"/>
        <v>73200</v>
      </c>
      <c r="Q10" s="22" t="str">
        <f t="shared" si="0"/>
        <v>x</v>
      </c>
      <c r="R10" s="22" t="str">
        <f t="shared" si="0"/>
        <v>(</v>
      </c>
      <c r="S10" s="22">
        <f t="shared" si="0"/>
        <v>1</v>
      </c>
      <c r="T10" s="22" t="str">
        <f>Q10</f>
        <v>x</v>
      </c>
      <c r="U10" s="200">
        <v>25</v>
      </c>
      <c r="V10" s="25" t="str">
        <f>L10</f>
        <v>)</v>
      </c>
      <c r="W10" s="20"/>
      <c r="X10" s="23">
        <f>+Z10*AC10*AE10</f>
        <v>219600</v>
      </c>
      <c r="Y10" s="22" t="str">
        <f t="shared" si="1"/>
        <v>=</v>
      </c>
      <c r="Z10" s="22">
        <f t="shared" si="1"/>
        <v>73200</v>
      </c>
      <c r="AA10" s="22" t="str">
        <f t="shared" si="1"/>
        <v>x</v>
      </c>
      <c r="AB10" s="22" t="str">
        <f t="shared" si="1"/>
        <v>(</v>
      </c>
      <c r="AC10" s="22">
        <f t="shared" si="1"/>
        <v>1</v>
      </c>
      <c r="AD10" s="22" t="str">
        <f>AA10</f>
        <v>x</v>
      </c>
      <c r="AE10" s="24">
        <f t="shared" ref="AE10:AE11" si="3">K10-U10</f>
        <v>3</v>
      </c>
      <c r="AF10" s="25" t="str">
        <f>V10</f>
        <v>)</v>
      </c>
      <c r="AG10" s="20"/>
    </row>
    <row r="11" spans="2:33" ht="19" x14ac:dyDescent="0.25">
      <c r="B11" s="56" t="s">
        <v>23</v>
      </c>
      <c r="C11" s="56"/>
      <c r="D11" s="23">
        <f>F11*I11*K11</f>
        <v>2928000</v>
      </c>
      <c r="E11" s="22" t="str">
        <f t="shared" si="2"/>
        <v>=</v>
      </c>
      <c r="F11" s="22">
        <f t="shared" si="2"/>
        <v>73200</v>
      </c>
      <c r="G11" s="22" t="str">
        <f t="shared" si="2"/>
        <v>x</v>
      </c>
      <c r="H11" s="22" t="str">
        <f t="shared" si="2"/>
        <v>(</v>
      </c>
      <c r="I11" s="22">
        <v>1</v>
      </c>
      <c r="J11" s="22" t="str">
        <f>J10</f>
        <v>x</v>
      </c>
      <c r="K11" s="200">
        <f>10/0.25</f>
        <v>40</v>
      </c>
      <c r="L11" s="25" t="str">
        <f>L10</f>
        <v>)</v>
      </c>
      <c r="M11" s="22"/>
      <c r="N11" s="23">
        <f>+P11*S11*U11</f>
        <v>2635200</v>
      </c>
      <c r="O11" s="22" t="str">
        <f t="shared" si="0"/>
        <v>=</v>
      </c>
      <c r="P11" s="22">
        <f t="shared" si="0"/>
        <v>73200</v>
      </c>
      <c r="Q11" s="22" t="str">
        <f t="shared" si="0"/>
        <v>x</v>
      </c>
      <c r="R11" s="22" t="str">
        <f t="shared" si="0"/>
        <v>(</v>
      </c>
      <c r="S11" s="22">
        <f t="shared" si="0"/>
        <v>1</v>
      </c>
      <c r="T11" s="22" t="str">
        <f>Q11</f>
        <v>x</v>
      </c>
      <c r="U11" s="200">
        <v>36</v>
      </c>
      <c r="V11" s="25" t="str">
        <f>L11</f>
        <v>)</v>
      </c>
      <c r="W11" s="20"/>
      <c r="X11" s="23">
        <f>+Z11*AC11*AE11</f>
        <v>292800</v>
      </c>
      <c r="Y11" s="22" t="str">
        <f t="shared" si="1"/>
        <v>=</v>
      </c>
      <c r="Z11" s="22">
        <f t="shared" si="1"/>
        <v>73200</v>
      </c>
      <c r="AA11" s="22" t="str">
        <f t="shared" si="1"/>
        <v>x</v>
      </c>
      <c r="AB11" s="22" t="str">
        <f t="shared" si="1"/>
        <v>(</v>
      </c>
      <c r="AC11" s="22">
        <f t="shared" si="1"/>
        <v>1</v>
      </c>
      <c r="AD11" s="22" t="str">
        <f>AA11</f>
        <v>x</v>
      </c>
      <c r="AE11" s="24">
        <f t="shared" si="3"/>
        <v>4</v>
      </c>
      <c r="AF11" s="25" t="str">
        <f>V11</f>
        <v>)</v>
      </c>
      <c r="AG11" s="20"/>
    </row>
    <row r="12" spans="2:33" ht="22" x14ac:dyDescent="0.4">
      <c r="B12" s="56" t="s">
        <v>18</v>
      </c>
      <c r="C12" s="56"/>
      <c r="D12" s="27">
        <f>+(D9+D10+D11)</f>
        <v>6148800</v>
      </c>
      <c r="E12" s="22"/>
      <c r="F12" s="22"/>
      <c r="G12" s="22"/>
      <c r="H12" s="22"/>
      <c r="I12" s="22"/>
      <c r="J12" s="22"/>
      <c r="K12" s="24"/>
      <c r="L12" s="25"/>
      <c r="M12" s="22"/>
      <c r="N12" s="27">
        <f>+N9+N10+N11</f>
        <v>5490000</v>
      </c>
      <c r="O12" s="22"/>
      <c r="P12" s="22"/>
      <c r="Q12" s="22"/>
      <c r="R12" s="22"/>
      <c r="S12" s="22"/>
      <c r="T12" s="22"/>
      <c r="U12" s="24"/>
      <c r="V12" s="25"/>
      <c r="W12" s="20"/>
      <c r="X12" s="27">
        <f>+X9+X10+X11</f>
        <v>658800</v>
      </c>
      <c r="Y12" s="22"/>
      <c r="Z12" s="22"/>
      <c r="AA12" s="22"/>
      <c r="AB12" s="22"/>
      <c r="AC12" s="22"/>
      <c r="AD12" s="22"/>
      <c r="AE12" s="24"/>
      <c r="AF12" s="25"/>
      <c r="AG12" s="20"/>
    </row>
    <row r="13" spans="2:33" ht="19" x14ac:dyDescent="0.25">
      <c r="B13" s="55" t="s">
        <v>76</v>
      </c>
      <c r="C13" s="62"/>
      <c r="D13" s="36">
        <f>F13*I13*K13</f>
        <v>6148800</v>
      </c>
      <c r="E13" s="4" t="str">
        <f>E11</f>
        <v>=</v>
      </c>
      <c r="F13" s="4">
        <f>F11</f>
        <v>73200</v>
      </c>
      <c r="G13" s="4" t="str">
        <f>G11</f>
        <v>x</v>
      </c>
      <c r="H13" s="4" t="str">
        <f>H11</f>
        <v>(</v>
      </c>
      <c r="I13" s="4">
        <f>+I9+I10+I11</f>
        <v>3</v>
      </c>
      <c r="J13" s="4" t="str">
        <f>J11</f>
        <v>x</v>
      </c>
      <c r="K13" s="5">
        <f>(K9+K10+K11)/3</f>
        <v>28</v>
      </c>
      <c r="L13" s="6" t="str">
        <f>L11</f>
        <v>)</v>
      </c>
      <c r="M13" s="22"/>
      <c r="N13" s="36">
        <f>+P13*S13*U13</f>
        <v>5490000</v>
      </c>
      <c r="O13" s="4" t="str">
        <f>E13</f>
        <v>=</v>
      </c>
      <c r="P13" s="4">
        <f>F13</f>
        <v>73200</v>
      </c>
      <c r="Q13" s="4" t="str">
        <f>G13</f>
        <v>x</v>
      </c>
      <c r="R13" s="4" t="str">
        <f>H13</f>
        <v>(</v>
      </c>
      <c r="S13" s="4">
        <f>I13</f>
        <v>3</v>
      </c>
      <c r="T13" s="4" t="str">
        <f>Q13</f>
        <v>x</v>
      </c>
      <c r="U13" s="5">
        <f>+(U9+U10+U11)/3</f>
        <v>25</v>
      </c>
      <c r="V13" s="6" t="str">
        <f>L13</f>
        <v>)</v>
      </c>
      <c r="W13" s="20"/>
      <c r="X13" s="36">
        <f>Z13*AC13*AE13</f>
        <v>658800</v>
      </c>
      <c r="Y13" s="4" t="str">
        <f>O13</f>
        <v>=</v>
      </c>
      <c r="Z13" s="4">
        <f>P13</f>
        <v>73200</v>
      </c>
      <c r="AA13" s="4" t="str">
        <f>Q13</f>
        <v>x</v>
      </c>
      <c r="AB13" s="4" t="str">
        <f>R13</f>
        <v>(</v>
      </c>
      <c r="AC13" s="4">
        <f>S13</f>
        <v>3</v>
      </c>
      <c r="AD13" s="4" t="str">
        <f>AA13</f>
        <v>x</v>
      </c>
      <c r="AE13" s="5">
        <f>K13-U13</f>
        <v>3</v>
      </c>
      <c r="AF13" s="6" t="str">
        <f>V13</f>
        <v>)</v>
      </c>
      <c r="AG13" s="20"/>
    </row>
    <row r="14" spans="2:33" ht="19" x14ac:dyDescent="0.25">
      <c r="B14" s="56"/>
      <c r="C14" s="56"/>
      <c r="D14" s="26"/>
      <c r="E14" s="22"/>
      <c r="F14" s="22"/>
      <c r="G14" s="22"/>
      <c r="H14" s="22"/>
      <c r="I14" s="22"/>
      <c r="J14" s="22"/>
      <c r="K14" s="24"/>
      <c r="L14" s="25"/>
      <c r="M14" s="22"/>
      <c r="N14" s="26"/>
      <c r="O14" s="22"/>
      <c r="P14" s="22"/>
      <c r="Q14" s="22"/>
      <c r="R14" s="22"/>
      <c r="S14" s="22"/>
      <c r="T14" s="22"/>
      <c r="U14" s="24"/>
      <c r="V14" s="25"/>
      <c r="W14" s="20"/>
      <c r="X14" s="26"/>
      <c r="Y14" s="22"/>
      <c r="Z14" s="22"/>
      <c r="AA14" s="22"/>
      <c r="AB14" s="22"/>
      <c r="AC14" s="22"/>
      <c r="AD14" s="22"/>
      <c r="AE14" s="24"/>
      <c r="AF14" s="25"/>
      <c r="AG14" s="20"/>
    </row>
    <row r="15" spans="2:33" ht="19" x14ac:dyDescent="0.25">
      <c r="B15" s="56" t="s">
        <v>24</v>
      </c>
      <c r="C15" s="56"/>
      <c r="D15" s="23">
        <f>F15*I15*K15</f>
        <v>915000</v>
      </c>
      <c r="E15" s="22" t="str">
        <f>E11</f>
        <v>=</v>
      </c>
      <c r="F15" s="22">
        <f>F11</f>
        <v>73200</v>
      </c>
      <c r="G15" s="22" t="str">
        <f>G11</f>
        <v>x</v>
      </c>
      <c r="H15" s="22" t="str">
        <f>H11</f>
        <v>(</v>
      </c>
      <c r="I15" s="22">
        <v>1</v>
      </c>
      <c r="J15" s="22" t="str">
        <f>J11</f>
        <v>x</v>
      </c>
      <c r="K15" s="24">
        <f>U15/0.8</f>
        <v>12.5</v>
      </c>
      <c r="L15" s="25" t="str">
        <f>L11</f>
        <v>)</v>
      </c>
      <c r="M15" s="22"/>
      <c r="N15" s="23">
        <f>+P15*S15*U15</f>
        <v>732000</v>
      </c>
      <c r="O15" s="22" t="str">
        <f t="shared" ref="O15:S17" si="4">E15</f>
        <v>=</v>
      </c>
      <c r="P15" s="22">
        <f t="shared" si="4"/>
        <v>73200</v>
      </c>
      <c r="Q15" s="22" t="str">
        <f t="shared" si="4"/>
        <v>x</v>
      </c>
      <c r="R15" s="22" t="str">
        <f t="shared" si="4"/>
        <v>(</v>
      </c>
      <c r="S15" s="22">
        <f t="shared" si="4"/>
        <v>1</v>
      </c>
      <c r="T15" s="22" t="str">
        <f>Q15</f>
        <v>x</v>
      </c>
      <c r="U15" s="200">
        <v>10</v>
      </c>
      <c r="V15" s="25" t="str">
        <f>L15</f>
        <v>)</v>
      </c>
      <c r="W15" s="20"/>
      <c r="X15" s="23">
        <f>+Z15*AC15*AE15</f>
        <v>183000</v>
      </c>
      <c r="Y15" s="22" t="str">
        <f t="shared" ref="Y15:AC17" si="5">O15</f>
        <v>=</v>
      </c>
      <c r="Z15" s="22">
        <f t="shared" si="5"/>
        <v>73200</v>
      </c>
      <c r="AA15" s="22" t="str">
        <f t="shared" si="5"/>
        <v>x</v>
      </c>
      <c r="AB15" s="22" t="str">
        <f t="shared" si="5"/>
        <v>(</v>
      </c>
      <c r="AC15" s="22">
        <f t="shared" si="5"/>
        <v>1</v>
      </c>
      <c r="AD15" s="22" t="str">
        <f>AA15</f>
        <v>x</v>
      </c>
      <c r="AE15" s="24">
        <f>K15-U15</f>
        <v>2.5</v>
      </c>
      <c r="AF15" s="25" t="str">
        <f>V15</f>
        <v>)</v>
      </c>
      <c r="AG15" s="20"/>
    </row>
    <row r="16" spans="2:33" ht="19" x14ac:dyDescent="0.25">
      <c r="B16" s="56" t="s">
        <v>25</v>
      </c>
      <c r="C16" s="56"/>
      <c r="D16" s="23">
        <f>F16*I16*K16</f>
        <v>1372500</v>
      </c>
      <c r="E16" s="22" t="str">
        <f t="shared" ref="E16:H17" si="6">E15</f>
        <v>=</v>
      </c>
      <c r="F16" s="22">
        <f t="shared" si="6"/>
        <v>73200</v>
      </c>
      <c r="G16" s="22" t="str">
        <f t="shared" si="6"/>
        <v>x</v>
      </c>
      <c r="H16" s="22" t="str">
        <f t="shared" si="6"/>
        <v>(</v>
      </c>
      <c r="I16" s="22">
        <v>1</v>
      </c>
      <c r="J16" s="22" t="str">
        <f>J15</f>
        <v>x</v>
      </c>
      <c r="K16" s="24">
        <f>U16/0.8</f>
        <v>18.75</v>
      </c>
      <c r="L16" s="25" t="str">
        <f>L15</f>
        <v>)</v>
      </c>
      <c r="M16" s="22"/>
      <c r="N16" s="23">
        <f>+P16*S16*U16</f>
        <v>1098000</v>
      </c>
      <c r="O16" s="22" t="str">
        <f t="shared" si="4"/>
        <v>=</v>
      </c>
      <c r="P16" s="22">
        <f t="shared" si="4"/>
        <v>73200</v>
      </c>
      <c r="Q16" s="22" t="str">
        <f t="shared" si="4"/>
        <v>x</v>
      </c>
      <c r="R16" s="22" t="str">
        <f t="shared" si="4"/>
        <v>(</v>
      </c>
      <c r="S16" s="22">
        <f t="shared" si="4"/>
        <v>1</v>
      </c>
      <c r="T16" s="22" t="str">
        <f>Q16</f>
        <v>x</v>
      </c>
      <c r="U16" s="200">
        <v>15</v>
      </c>
      <c r="V16" s="25" t="str">
        <f>L16</f>
        <v>)</v>
      </c>
      <c r="W16" s="20"/>
      <c r="X16" s="23">
        <f>+Z16*AC16*AE16</f>
        <v>274500</v>
      </c>
      <c r="Y16" s="22" t="str">
        <f t="shared" si="5"/>
        <v>=</v>
      </c>
      <c r="Z16" s="22">
        <f t="shared" si="5"/>
        <v>73200</v>
      </c>
      <c r="AA16" s="22" t="str">
        <f t="shared" si="5"/>
        <v>x</v>
      </c>
      <c r="AB16" s="22" t="str">
        <f t="shared" si="5"/>
        <v>(</v>
      </c>
      <c r="AC16" s="22">
        <f t="shared" si="5"/>
        <v>1</v>
      </c>
      <c r="AD16" s="22" t="str">
        <f>AA16</f>
        <v>x</v>
      </c>
      <c r="AE16" s="24">
        <f>K16-U16</f>
        <v>3.75</v>
      </c>
      <c r="AF16" s="25" t="str">
        <f>V16</f>
        <v>)</v>
      </c>
      <c r="AG16" s="20"/>
    </row>
    <row r="17" spans="2:44" ht="22" x14ac:dyDescent="0.4">
      <c r="B17" s="56" t="s">
        <v>26</v>
      </c>
      <c r="C17" s="56"/>
      <c r="D17" s="27">
        <f>F17*I17*K17</f>
        <v>1830000</v>
      </c>
      <c r="E17" s="22" t="str">
        <f t="shared" si="6"/>
        <v>=</v>
      </c>
      <c r="F17" s="22">
        <f t="shared" si="6"/>
        <v>73200</v>
      </c>
      <c r="G17" s="22" t="str">
        <f t="shared" si="6"/>
        <v>x</v>
      </c>
      <c r="H17" s="22" t="str">
        <f t="shared" si="6"/>
        <v>(</v>
      </c>
      <c r="I17" s="22">
        <v>1</v>
      </c>
      <c r="J17" s="22" t="str">
        <f>J16</f>
        <v>x</v>
      </c>
      <c r="K17" s="24">
        <f>U17/0.8</f>
        <v>25</v>
      </c>
      <c r="L17" s="25" t="str">
        <f>L16</f>
        <v>)</v>
      </c>
      <c r="M17" s="22"/>
      <c r="N17" s="23">
        <f>+P17*S17*U17</f>
        <v>1464000</v>
      </c>
      <c r="O17" s="22" t="str">
        <f t="shared" si="4"/>
        <v>=</v>
      </c>
      <c r="P17" s="22">
        <f t="shared" si="4"/>
        <v>73200</v>
      </c>
      <c r="Q17" s="22" t="str">
        <f t="shared" si="4"/>
        <v>x</v>
      </c>
      <c r="R17" s="22" t="str">
        <f t="shared" si="4"/>
        <v>(</v>
      </c>
      <c r="S17" s="22">
        <f t="shared" si="4"/>
        <v>1</v>
      </c>
      <c r="T17" s="22" t="str">
        <f>Q17</f>
        <v>x</v>
      </c>
      <c r="U17" s="200">
        <v>20</v>
      </c>
      <c r="V17" s="25" t="str">
        <f>L17</f>
        <v>)</v>
      </c>
      <c r="W17" s="20"/>
      <c r="X17" s="23">
        <f>+Z17*AC17*AE17</f>
        <v>366000</v>
      </c>
      <c r="Y17" s="22" t="str">
        <f t="shared" si="5"/>
        <v>=</v>
      </c>
      <c r="Z17" s="22">
        <f t="shared" si="5"/>
        <v>73200</v>
      </c>
      <c r="AA17" s="22" t="str">
        <f t="shared" si="5"/>
        <v>x</v>
      </c>
      <c r="AB17" s="22" t="str">
        <f t="shared" si="5"/>
        <v>(</v>
      </c>
      <c r="AC17" s="22">
        <f t="shared" si="5"/>
        <v>1</v>
      </c>
      <c r="AD17" s="22" t="str">
        <f>AA17</f>
        <v>x</v>
      </c>
      <c r="AE17" s="24">
        <f>K17-U17</f>
        <v>5</v>
      </c>
      <c r="AF17" s="25" t="str">
        <f>V17</f>
        <v>)</v>
      </c>
      <c r="AG17" s="20"/>
    </row>
    <row r="18" spans="2:44" ht="22" x14ac:dyDescent="0.4">
      <c r="B18" s="56" t="s">
        <v>19</v>
      </c>
      <c r="C18" s="56"/>
      <c r="D18" s="23">
        <f>+(D15+D16+D17)</f>
        <v>4117500</v>
      </c>
      <c r="E18" s="22" t="str">
        <f>E17</f>
        <v>=</v>
      </c>
      <c r="F18" s="22" t="s">
        <v>9</v>
      </c>
      <c r="G18" s="22" t="s">
        <v>9</v>
      </c>
      <c r="H18" s="22" t="s">
        <v>9</v>
      </c>
      <c r="I18" s="22" t="s">
        <v>9</v>
      </c>
      <c r="J18" s="22" t="s">
        <v>9</v>
      </c>
      <c r="K18" s="24" t="s">
        <v>9</v>
      </c>
      <c r="L18" s="25" t="s">
        <v>9</v>
      </c>
      <c r="M18" s="22"/>
      <c r="N18" s="27">
        <f>+N15+N16+N17</f>
        <v>3294000</v>
      </c>
      <c r="O18" s="22" t="s">
        <v>9</v>
      </c>
      <c r="P18" s="22"/>
      <c r="Q18" s="22"/>
      <c r="R18" s="22"/>
      <c r="S18" s="22"/>
      <c r="T18" s="22"/>
      <c r="U18" s="24"/>
      <c r="V18" s="25"/>
      <c r="W18" s="20"/>
      <c r="X18" s="27">
        <f>+X15+X16+X17</f>
        <v>823500</v>
      </c>
      <c r="Y18" s="22"/>
      <c r="Z18" s="22"/>
      <c r="AA18" s="22"/>
      <c r="AB18" s="22"/>
      <c r="AC18" s="22"/>
      <c r="AD18" s="22"/>
      <c r="AE18" s="24"/>
      <c r="AF18" s="25"/>
      <c r="AG18" s="20"/>
    </row>
    <row r="19" spans="2:44" ht="19" x14ac:dyDescent="0.25">
      <c r="B19" s="55" t="s">
        <v>77</v>
      </c>
      <c r="C19" s="62"/>
      <c r="D19" s="36">
        <f>+F19*I19*K19</f>
        <v>4117500</v>
      </c>
      <c r="E19" s="4" t="str">
        <f>E18</f>
        <v>=</v>
      </c>
      <c r="F19" s="4">
        <f>F17</f>
        <v>73200</v>
      </c>
      <c r="G19" s="4" t="str">
        <f>G17</f>
        <v>x</v>
      </c>
      <c r="H19" s="4" t="str">
        <f>H17</f>
        <v>(</v>
      </c>
      <c r="I19" s="4">
        <f>+(I15+I16+I17)</f>
        <v>3</v>
      </c>
      <c r="J19" s="4" t="str">
        <f>J17</f>
        <v>x</v>
      </c>
      <c r="K19" s="5">
        <f>+(K15+K16+K17)/3</f>
        <v>18.75</v>
      </c>
      <c r="L19" s="6" t="str">
        <f>L17</f>
        <v>)</v>
      </c>
      <c r="M19" s="22"/>
      <c r="N19" s="36">
        <f>+P19*S19*U19</f>
        <v>3294000</v>
      </c>
      <c r="O19" s="4" t="str">
        <f>E19</f>
        <v>=</v>
      </c>
      <c r="P19" s="4">
        <f>F19</f>
        <v>73200</v>
      </c>
      <c r="Q19" s="4" t="str">
        <f>G19</f>
        <v>x</v>
      </c>
      <c r="R19" s="4" t="str">
        <f>H19</f>
        <v>(</v>
      </c>
      <c r="S19" s="4">
        <f>I19</f>
        <v>3</v>
      </c>
      <c r="T19" s="4" t="str">
        <f>Q19</f>
        <v>x</v>
      </c>
      <c r="U19" s="5">
        <f>+(U15+U16+U17)/3</f>
        <v>15</v>
      </c>
      <c r="V19" s="6" t="str">
        <f>L19</f>
        <v>)</v>
      </c>
      <c r="W19" s="20"/>
      <c r="X19" s="36">
        <f>+Z19*AC19*AE19</f>
        <v>823500</v>
      </c>
      <c r="Y19" s="4" t="str">
        <f>O19</f>
        <v>=</v>
      </c>
      <c r="Z19" s="4">
        <f>P19</f>
        <v>73200</v>
      </c>
      <c r="AA19" s="4" t="str">
        <f>Q19</f>
        <v>x</v>
      </c>
      <c r="AB19" s="4" t="str">
        <f>R19</f>
        <v>(</v>
      </c>
      <c r="AC19" s="4">
        <f>S19</f>
        <v>3</v>
      </c>
      <c r="AD19" s="4" t="str">
        <f>AA19</f>
        <v>x</v>
      </c>
      <c r="AE19" s="5">
        <f>K19-U19</f>
        <v>3.75</v>
      </c>
      <c r="AF19" s="6" t="str">
        <f>V19</f>
        <v>)</v>
      </c>
      <c r="AG19" s="20"/>
    </row>
    <row r="20" spans="2:44" ht="19" x14ac:dyDescent="0.25">
      <c r="B20" s="56"/>
      <c r="C20" s="56"/>
      <c r="D20" s="26"/>
      <c r="E20" s="22"/>
      <c r="F20" s="22"/>
      <c r="G20" s="22"/>
      <c r="H20" s="22"/>
      <c r="I20" s="22"/>
      <c r="J20" s="22"/>
      <c r="K20" s="24"/>
      <c r="L20" s="25"/>
      <c r="M20" s="22"/>
      <c r="N20" s="26"/>
      <c r="O20" s="22"/>
      <c r="P20" s="22"/>
      <c r="Q20" s="22"/>
      <c r="R20" s="22"/>
      <c r="S20" s="22"/>
      <c r="T20" s="22"/>
      <c r="U20" s="24"/>
      <c r="V20" s="25"/>
      <c r="W20" s="20"/>
      <c r="X20" s="26"/>
      <c r="Y20" s="22"/>
      <c r="Z20" s="22"/>
      <c r="AA20" s="22"/>
      <c r="AB20" s="22"/>
      <c r="AC20" s="22"/>
      <c r="AD20" s="22"/>
      <c r="AE20" s="24"/>
      <c r="AF20" s="25"/>
      <c r="AG20" s="20"/>
    </row>
    <row r="21" spans="2:44" ht="19" x14ac:dyDescent="0.25">
      <c r="B21" s="56" t="s">
        <v>16</v>
      </c>
      <c r="C21" s="56"/>
      <c r="D21" s="23">
        <f>+F21*I21*K21</f>
        <v>2287500</v>
      </c>
      <c r="E21" s="22" t="str">
        <f>E17</f>
        <v>=</v>
      </c>
      <c r="F21" s="22">
        <f>F17</f>
        <v>73200</v>
      </c>
      <c r="G21" s="22" t="str">
        <f>G17</f>
        <v>x</v>
      </c>
      <c r="H21" s="22" t="str">
        <f>H17</f>
        <v>(</v>
      </c>
      <c r="I21" s="22">
        <v>1</v>
      </c>
      <c r="J21" s="22" t="str">
        <f>J17</f>
        <v>x</v>
      </c>
      <c r="K21" s="24">
        <f>+U21/0.8</f>
        <v>31.25</v>
      </c>
      <c r="L21" s="25" t="str">
        <f>L17</f>
        <v>)</v>
      </c>
      <c r="M21" s="22"/>
      <c r="N21" s="23">
        <f>+P21*S21*U21</f>
        <v>1830000</v>
      </c>
      <c r="O21" s="22" t="str">
        <f t="shared" ref="O21:S22" si="7">E21</f>
        <v>=</v>
      </c>
      <c r="P21" s="22">
        <f t="shared" si="7"/>
        <v>73200</v>
      </c>
      <c r="Q21" s="22" t="str">
        <f t="shared" si="7"/>
        <v>x</v>
      </c>
      <c r="R21" s="22" t="str">
        <f t="shared" si="7"/>
        <v>(</v>
      </c>
      <c r="S21" s="22">
        <f t="shared" si="7"/>
        <v>1</v>
      </c>
      <c r="T21" s="22" t="str">
        <f>Q21</f>
        <v>x</v>
      </c>
      <c r="U21" s="200">
        <v>25</v>
      </c>
      <c r="V21" s="25" t="str">
        <f>L21</f>
        <v>)</v>
      </c>
      <c r="W21" s="20"/>
      <c r="X21" s="23">
        <f>+Z21*AC21*AE21</f>
        <v>457500</v>
      </c>
      <c r="Y21" s="22" t="str">
        <f t="shared" ref="Y21:AC22" si="8">O21</f>
        <v>=</v>
      </c>
      <c r="Z21" s="22">
        <f t="shared" si="8"/>
        <v>73200</v>
      </c>
      <c r="AA21" s="22" t="str">
        <f t="shared" si="8"/>
        <v>x</v>
      </c>
      <c r="AB21" s="22" t="str">
        <f t="shared" si="8"/>
        <v>(</v>
      </c>
      <c r="AC21" s="22">
        <f t="shared" si="8"/>
        <v>1</v>
      </c>
      <c r="AD21" s="22" t="str">
        <f>AA21</f>
        <v>x</v>
      </c>
      <c r="AE21" s="24">
        <f>K21-U21</f>
        <v>6.25</v>
      </c>
      <c r="AF21" s="25" t="str">
        <f>V21</f>
        <v>)</v>
      </c>
      <c r="AG21" s="20"/>
    </row>
    <row r="22" spans="2:44" ht="19" x14ac:dyDescent="0.25">
      <c r="B22" s="56" t="s">
        <v>1</v>
      </c>
      <c r="C22" s="56"/>
      <c r="D22" s="23">
        <f>+F22*I22*K22</f>
        <v>1372500</v>
      </c>
      <c r="E22" s="22" t="str">
        <f>E21</f>
        <v>=</v>
      </c>
      <c r="F22" s="22">
        <f>F21</f>
        <v>73200</v>
      </c>
      <c r="G22" s="22" t="str">
        <f>G21</f>
        <v>x</v>
      </c>
      <c r="H22" s="22" t="str">
        <f>H21</f>
        <v>(</v>
      </c>
      <c r="I22" s="22">
        <v>1</v>
      </c>
      <c r="J22" s="22" t="str">
        <f>J21</f>
        <v>x</v>
      </c>
      <c r="K22" s="24">
        <f>+U22/0.8</f>
        <v>18.75</v>
      </c>
      <c r="L22" s="25" t="str">
        <f>L21</f>
        <v>)</v>
      </c>
      <c r="M22" s="22"/>
      <c r="N22" s="23">
        <f>+P22*S22*U22</f>
        <v>1098000</v>
      </c>
      <c r="O22" s="22" t="str">
        <f t="shared" si="7"/>
        <v>=</v>
      </c>
      <c r="P22" s="22">
        <f t="shared" si="7"/>
        <v>73200</v>
      </c>
      <c r="Q22" s="22" t="str">
        <f t="shared" si="7"/>
        <v>x</v>
      </c>
      <c r="R22" s="22" t="str">
        <f t="shared" si="7"/>
        <v>(</v>
      </c>
      <c r="S22" s="22">
        <f t="shared" si="7"/>
        <v>1</v>
      </c>
      <c r="T22" s="22" t="str">
        <f>Q22</f>
        <v>x</v>
      </c>
      <c r="U22" s="200">
        <v>15</v>
      </c>
      <c r="V22" s="25" t="str">
        <f>L22</f>
        <v>)</v>
      </c>
      <c r="W22" s="20"/>
      <c r="X22" s="23">
        <f>+Z22*AC22*AE22</f>
        <v>274500</v>
      </c>
      <c r="Y22" s="22" t="str">
        <f t="shared" si="8"/>
        <v>=</v>
      </c>
      <c r="Z22" s="22">
        <f t="shared" si="8"/>
        <v>73200</v>
      </c>
      <c r="AA22" s="22" t="str">
        <f t="shared" si="8"/>
        <v>x</v>
      </c>
      <c r="AB22" s="22" t="str">
        <f t="shared" si="8"/>
        <v>(</v>
      </c>
      <c r="AC22" s="22">
        <f t="shared" si="8"/>
        <v>1</v>
      </c>
      <c r="AD22" s="22" t="str">
        <f>AA22</f>
        <v>x</v>
      </c>
      <c r="AE22" s="24">
        <f>K22-U22</f>
        <v>3.75</v>
      </c>
      <c r="AF22" s="25" t="str">
        <f>V22</f>
        <v>)</v>
      </c>
      <c r="AG22" s="20"/>
    </row>
    <row r="23" spans="2:44" ht="22" x14ac:dyDescent="0.4">
      <c r="B23" s="56" t="s">
        <v>20</v>
      </c>
      <c r="C23" s="56"/>
      <c r="D23" s="27">
        <f>+D21+D22</f>
        <v>3660000</v>
      </c>
      <c r="E23" s="22"/>
      <c r="F23" s="22"/>
      <c r="G23" s="22"/>
      <c r="H23" s="22"/>
      <c r="I23" s="22"/>
      <c r="J23" s="22"/>
      <c r="K23" s="22"/>
      <c r="L23" s="25"/>
      <c r="M23" s="22"/>
      <c r="N23" s="27">
        <f>+N21+N22</f>
        <v>2928000</v>
      </c>
      <c r="O23" s="22"/>
      <c r="P23" s="22"/>
      <c r="Q23" s="22"/>
      <c r="R23" s="22"/>
      <c r="S23" s="22"/>
      <c r="T23" s="22"/>
      <c r="U23" s="24"/>
      <c r="V23" s="25"/>
      <c r="W23" s="20"/>
      <c r="X23" s="40"/>
      <c r="Y23" s="22"/>
      <c r="Z23" s="22"/>
      <c r="AA23" s="22"/>
      <c r="AB23" s="22"/>
      <c r="AC23" s="22"/>
      <c r="AD23" s="22"/>
      <c r="AE23" s="24"/>
      <c r="AF23" s="25"/>
      <c r="AG23" s="20"/>
    </row>
    <row r="24" spans="2:44" ht="19" x14ac:dyDescent="0.25">
      <c r="B24" s="63" t="s">
        <v>78</v>
      </c>
      <c r="C24" s="58"/>
      <c r="D24" s="36">
        <f>F24*I24*K24</f>
        <v>3660000</v>
      </c>
      <c r="E24" s="4" t="str">
        <f>E22</f>
        <v>=</v>
      </c>
      <c r="F24" s="4">
        <f>F22</f>
        <v>73200</v>
      </c>
      <c r="G24" s="4" t="str">
        <f>G22</f>
        <v>x</v>
      </c>
      <c r="H24" s="4" t="str">
        <f>H22</f>
        <v>(</v>
      </c>
      <c r="I24" s="4">
        <f>+(I21+I22)</f>
        <v>2</v>
      </c>
      <c r="J24" s="4" t="str">
        <f>J22</f>
        <v>x</v>
      </c>
      <c r="K24" s="5">
        <f>+(K21+K22)/2</f>
        <v>25</v>
      </c>
      <c r="L24" s="6" t="str">
        <f>L22</f>
        <v>)</v>
      </c>
      <c r="M24" s="22"/>
      <c r="N24" s="36">
        <f>+P24*S24*U24</f>
        <v>2928000</v>
      </c>
      <c r="O24" s="4" t="str">
        <f>E24</f>
        <v>=</v>
      </c>
      <c r="P24" s="4">
        <f>F24</f>
        <v>73200</v>
      </c>
      <c r="Q24" s="4" t="str">
        <f>G24</f>
        <v>x</v>
      </c>
      <c r="R24" s="4" t="str">
        <f>H24</f>
        <v>(</v>
      </c>
      <c r="S24" s="4">
        <f>I24</f>
        <v>2</v>
      </c>
      <c r="T24" s="4" t="str">
        <f>Q24</f>
        <v>x</v>
      </c>
      <c r="U24" s="5">
        <f>+(U21+U22)/2</f>
        <v>20</v>
      </c>
      <c r="V24" s="6" t="str">
        <f>L24</f>
        <v>)</v>
      </c>
      <c r="W24" s="20"/>
      <c r="X24" s="36">
        <f>+Z24*AC24*AE24</f>
        <v>732000</v>
      </c>
      <c r="Y24" s="4" t="str">
        <f>O24</f>
        <v>=</v>
      </c>
      <c r="Z24" s="4">
        <f>P24</f>
        <v>73200</v>
      </c>
      <c r="AA24" s="4" t="str">
        <f>Q24</f>
        <v>x</v>
      </c>
      <c r="AB24" s="4" t="str">
        <f>R24</f>
        <v>(</v>
      </c>
      <c r="AC24" s="4">
        <f>S24</f>
        <v>2</v>
      </c>
      <c r="AD24" s="4" t="str">
        <f>AA24</f>
        <v>x</v>
      </c>
      <c r="AE24" s="5">
        <f>K24-U24</f>
        <v>5</v>
      </c>
      <c r="AF24" s="6" t="str">
        <f>V24</f>
        <v>)</v>
      </c>
      <c r="AG24" s="20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2:44" ht="19" x14ac:dyDescent="0.25">
      <c r="B25" s="57"/>
      <c r="C25" s="57"/>
      <c r="D25" s="26"/>
      <c r="E25" s="22"/>
      <c r="F25" s="22"/>
      <c r="G25" s="22"/>
      <c r="H25" s="22"/>
      <c r="I25" s="22"/>
      <c r="J25" s="22"/>
      <c r="K25" s="22"/>
      <c r="L25" s="25"/>
      <c r="M25" s="22"/>
      <c r="N25" s="26"/>
      <c r="O25" s="22"/>
      <c r="P25" s="22"/>
      <c r="Q25" s="22"/>
      <c r="R25" s="22"/>
      <c r="S25" s="22"/>
      <c r="T25" s="22"/>
      <c r="U25" s="24"/>
      <c r="V25" s="25"/>
      <c r="W25" s="20"/>
      <c r="X25" s="26"/>
      <c r="Y25" s="22"/>
      <c r="Z25" s="22" t="s">
        <v>9</v>
      </c>
      <c r="AA25" s="22"/>
      <c r="AB25" s="22"/>
      <c r="AC25" s="22"/>
      <c r="AD25" s="22"/>
      <c r="AE25" s="24"/>
      <c r="AF25" s="25"/>
      <c r="AG25" s="20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2:44" ht="22" x14ac:dyDescent="0.4">
      <c r="B26" s="63" t="s">
        <v>79</v>
      </c>
      <c r="C26" s="58"/>
      <c r="D26" s="37">
        <f>+D24+D19+D13+D7</f>
        <v>19050300</v>
      </c>
      <c r="E26" s="4" t="str">
        <f>E24</f>
        <v>=</v>
      </c>
      <c r="F26" s="29">
        <f>F24</f>
        <v>73200</v>
      </c>
      <c r="G26" s="4" t="str">
        <f>G24</f>
        <v>x</v>
      </c>
      <c r="H26" s="4" t="str">
        <f>H24</f>
        <v>(</v>
      </c>
      <c r="I26" s="29">
        <f>+I24+I19+I13+I7</f>
        <v>8.5</v>
      </c>
      <c r="J26" s="4" t="str">
        <f>J24</f>
        <v>x</v>
      </c>
      <c r="K26" s="28">
        <f>D26/F26/I26</f>
        <v>30.617647058823529</v>
      </c>
      <c r="L26" s="6" t="str">
        <f>L24</f>
        <v>)</v>
      </c>
      <c r="M26" s="22"/>
      <c r="N26" s="37">
        <f>+N24+N19+N13+N7</f>
        <v>15372000</v>
      </c>
      <c r="O26" s="4" t="str">
        <f>E26</f>
        <v>=</v>
      </c>
      <c r="P26" s="29">
        <f>F26</f>
        <v>73200</v>
      </c>
      <c r="Q26" s="4" t="str">
        <f>G26</f>
        <v>x</v>
      </c>
      <c r="R26" s="4" t="str">
        <f>H26</f>
        <v>(</v>
      </c>
      <c r="S26" s="4">
        <f>I26</f>
        <v>8.5</v>
      </c>
      <c r="T26" s="4" t="str">
        <f>Q26</f>
        <v>x</v>
      </c>
      <c r="U26" s="28">
        <f>N26/P26/S26</f>
        <v>24.705882352941178</v>
      </c>
      <c r="V26" s="6" t="str">
        <f>L26</f>
        <v>)</v>
      </c>
      <c r="W26" s="20"/>
      <c r="X26" s="37">
        <f>+X24+X19+X13+X7</f>
        <v>3678300</v>
      </c>
      <c r="Y26" s="4" t="str">
        <f>O26</f>
        <v>=</v>
      </c>
      <c r="Z26" s="29">
        <f>P26</f>
        <v>73200</v>
      </c>
      <c r="AA26" s="4" t="str">
        <f>Q26</f>
        <v>x</v>
      </c>
      <c r="AB26" s="4" t="str">
        <f>R26</f>
        <v>(</v>
      </c>
      <c r="AC26" s="29">
        <f>S26</f>
        <v>8.5</v>
      </c>
      <c r="AD26" s="4" t="str">
        <f>AA26</f>
        <v>x</v>
      </c>
      <c r="AE26" s="39">
        <f>+X26/Z26/AC26</f>
        <v>5.9117647058823533</v>
      </c>
      <c r="AF26" s="6" t="str">
        <f>V26</f>
        <v>)</v>
      </c>
      <c r="AG26" s="20"/>
      <c r="AH26" s="41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2:44" ht="22" x14ac:dyDescent="0.4">
      <c r="B27" s="58"/>
      <c r="C27" s="58"/>
      <c r="D27" s="46"/>
      <c r="E27" s="43"/>
      <c r="F27" s="44"/>
      <c r="G27" s="43"/>
      <c r="H27" s="43"/>
      <c r="I27" s="44"/>
      <c r="J27" s="43"/>
      <c r="K27" s="42"/>
      <c r="L27" s="45"/>
      <c r="M27" s="22"/>
      <c r="N27" s="46"/>
      <c r="O27" s="43"/>
      <c r="P27" s="44"/>
      <c r="Q27" s="43"/>
      <c r="R27" s="43"/>
      <c r="S27" s="43"/>
      <c r="T27" s="43"/>
      <c r="U27" s="42"/>
      <c r="V27" s="45"/>
      <c r="W27" s="20"/>
      <c r="X27" s="46"/>
      <c r="Y27" s="43"/>
      <c r="Z27" s="44"/>
      <c r="AA27" s="43"/>
      <c r="AB27" s="43"/>
      <c r="AC27" s="44"/>
      <c r="AD27" s="43"/>
      <c r="AE27" s="47"/>
      <c r="AF27" s="45"/>
      <c r="AG27" s="20"/>
      <c r="AH27" s="41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2:44" ht="22" x14ac:dyDescent="0.4">
      <c r="B28" s="57"/>
      <c r="C28" s="57"/>
      <c r="D28" s="50" t="s">
        <v>28</v>
      </c>
      <c r="E28" s="22" t="str">
        <f>E26</f>
        <v>=</v>
      </c>
      <c r="F28" s="49"/>
      <c r="G28" s="22"/>
      <c r="H28" s="22" t="str">
        <f>H26</f>
        <v>(</v>
      </c>
      <c r="I28" s="49"/>
      <c r="J28" s="48">
        <f>+I26*K26</f>
        <v>260.25</v>
      </c>
      <c r="K28" s="48"/>
      <c r="L28" s="25" t="str">
        <f>L26</f>
        <v>)</v>
      </c>
      <c r="M28" s="22"/>
      <c r="N28" s="50" t="s">
        <v>14</v>
      </c>
      <c r="O28" s="22" t="str">
        <f>+O26</f>
        <v>=</v>
      </c>
      <c r="P28" s="49"/>
      <c r="Q28" s="22"/>
      <c r="R28" s="22" t="str">
        <f>R26</f>
        <v>(</v>
      </c>
      <c r="S28" s="22"/>
      <c r="T28" s="48">
        <f>+S26*U26</f>
        <v>210</v>
      </c>
      <c r="U28" s="48"/>
      <c r="V28" s="25" t="str">
        <f>V26</f>
        <v>)</v>
      </c>
      <c r="W28" s="20"/>
      <c r="X28" s="50" t="s">
        <v>15</v>
      </c>
      <c r="Y28" s="22" t="str">
        <f>Y26</f>
        <v>=</v>
      </c>
      <c r="Z28" s="49"/>
      <c r="AA28" s="22"/>
      <c r="AB28" s="22" t="str">
        <f>AB26</f>
        <v>(</v>
      </c>
      <c r="AC28" s="49"/>
      <c r="AD28" s="48">
        <f>+AC26*AE26</f>
        <v>50.25</v>
      </c>
      <c r="AE28" s="51"/>
      <c r="AF28" s="25" t="str">
        <f>AF26</f>
        <v>)</v>
      </c>
      <c r="AG28" s="20"/>
      <c r="AH28" s="41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2:44" ht="20" thickBot="1" x14ac:dyDescent="0.3">
      <c r="B29" s="59"/>
      <c r="C29" s="56"/>
      <c r="D29" s="30"/>
      <c r="E29" s="31"/>
      <c r="F29" s="31"/>
      <c r="G29" s="31"/>
      <c r="H29" s="31"/>
      <c r="I29" s="31"/>
      <c r="J29" s="31"/>
      <c r="K29" s="31"/>
      <c r="L29" s="32"/>
      <c r="M29" s="33"/>
      <c r="N29" s="34"/>
      <c r="O29" s="35"/>
      <c r="P29" s="35"/>
      <c r="Q29" s="35"/>
      <c r="R29" s="35"/>
      <c r="S29" s="35"/>
      <c r="T29" s="35"/>
      <c r="U29" s="35"/>
      <c r="V29" s="38"/>
      <c r="W29" s="20"/>
      <c r="X29" s="34"/>
      <c r="Y29" s="35"/>
      <c r="Z29" s="35"/>
      <c r="AA29" s="35"/>
      <c r="AB29" s="35"/>
      <c r="AC29" s="35"/>
      <c r="AD29" s="35"/>
      <c r="AE29" s="35"/>
      <c r="AF29" s="38"/>
      <c r="AG29" s="20"/>
    </row>
    <row r="30" spans="2:44" ht="20" thickTop="1" x14ac:dyDescent="0.2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22"/>
      <c r="O30" s="22"/>
      <c r="P30" s="22"/>
      <c r="Q30" s="22"/>
      <c r="R30" s="22"/>
      <c r="S30" s="22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  <row r="31" spans="2:44" ht="22" x14ac:dyDescent="0.4">
      <c r="B31" s="1"/>
      <c r="C31" s="1"/>
      <c r="D31" s="231" t="s">
        <v>81</v>
      </c>
      <c r="E31" s="232"/>
      <c r="F31" s="232"/>
      <c r="G31" s="232"/>
      <c r="H31" s="232"/>
      <c r="I31" s="232"/>
      <c r="J31" s="232"/>
      <c r="K31" s="48">
        <f>+(K7+K9+K10+K11+K15+K16+K17+K21+K22)/I26</f>
        <v>38.852941176470587</v>
      </c>
      <c r="L31" s="1"/>
      <c r="M31" s="1"/>
      <c r="N31" s="1"/>
      <c r="O31" s="1"/>
      <c r="P31" s="1"/>
      <c r="Q31" s="1"/>
      <c r="R31" s="1"/>
      <c r="S31" s="1"/>
      <c r="AE31" s="230" t="s">
        <v>9</v>
      </c>
    </row>
    <row r="32" spans="2:44" ht="19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2:19" ht="19" x14ac:dyDescent="0.25">
      <c r="B33" s="1"/>
      <c r="C33" s="1"/>
      <c r="D33" s="1"/>
      <c r="E33" s="1"/>
      <c r="F33" s="1"/>
      <c r="G33" s="1"/>
      <c r="H33" s="1"/>
      <c r="I33" s="1"/>
      <c r="J33" s="1"/>
      <c r="K33" s="1" t="s">
        <v>9</v>
      </c>
      <c r="L33" s="1"/>
      <c r="M33" s="1"/>
      <c r="N33" s="1"/>
      <c r="O33" s="1"/>
      <c r="P33" s="1"/>
      <c r="Q33" s="1"/>
      <c r="R33" s="1"/>
      <c r="S33" s="1"/>
    </row>
    <row r="34" spans="2:19" ht="19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ht="19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9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</sheetData>
  <mergeCells count="2">
    <mergeCell ref="B2:L2"/>
    <mergeCell ref="D31:J31"/>
  </mergeCells>
  <pageMargins left="0.7" right="0.7" top="0.75" bottom="0.75" header="0.3" footer="0.3"/>
  <ignoredErrors>
    <ignoredError sqref="E9:F9 D12 I13 I19 I24 K13 K19 K24 I26 K26 N12 N18 N23 K15:K17 X18 K9:K11 K21:K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16FDB-E7D0-234A-B935-7B552484D421}">
  <sheetPr>
    <tabColor rgb="FF002060"/>
  </sheetPr>
  <dimension ref="B1:AZ245"/>
  <sheetViews>
    <sheetView zoomScale="125" zoomScaleNormal="150" zoomScalePageLayoutView="150" workbookViewId="0">
      <pane xSplit="3" ySplit="9" topLeftCell="D10" activePane="bottomRight" state="frozen"/>
      <selection pane="topRight" activeCell="C1" sqref="C1"/>
      <selection pane="bottomLeft" activeCell="A10" sqref="A10"/>
      <selection pane="bottomRight" activeCell="K29" sqref="K29"/>
    </sheetView>
  </sheetViews>
  <sheetFormatPr baseColWidth="10" defaultRowHeight="13" x14ac:dyDescent="0.15"/>
  <cols>
    <col min="1" max="1" width="3.6640625" style="66" customWidth="1"/>
    <col min="2" max="2" width="1.5" style="66" customWidth="1"/>
    <col min="3" max="3" width="50.83203125" style="66" customWidth="1"/>
    <col min="4" max="4" width="2.33203125" style="66" customWidth="1"/>
    <col min="5" max="5" width="15.83203125" style="66" customWidth="1"/>
    <col min="6" max="6" width="10.83203125" style="66" customWidth="1"/>
    <col min="7" max="7" width="1.5" style="66" customWidth="1"/>
    <col min="8" max="8" width="15.83203125" style="67" customWidth="1"/>
    <col min="9" max="9" width="10.83203125" style="66" customWidth="1"/>
    <col min="10" max="10" width="13.33203125" style="66" customWidth="1"/>
    <col min="11" max="11" width="18.6640625" style="66" bestFit="1" customWidth="1"/>
    <col min="12" max="12" width="2.5" style="66" bestFit="1" customWidth="1"/>
    <col min="13" max="13" width="18.6640625" style="66" bestFit="1" customWidth="1"/>
    <col min="14" max="14" width="2.5" style="66" bestFit="1" customWidth="1"/>
    <col min="15" max="15" width="18.6640625" style="66" bestFit="1" customWidth="1"/>
    <col min="16" max="16" width="2.5" style="66" bestFit="1" customWidth="1"/>
    <col min="17" max="17" width="18.33203125" style="66" customWidth="1"/>
    <col min="18" max="18" width="9.1640625" style="66" customWidth="1"/>
    <col min="19" max="19" width="17.33203125" style="66" customWidth="1"/>
    <col min="20" max="20" width="1.83203125" style="66" customWidth="1"/>
    <col min="21" max="21" width="9.1640625" style="66" customWidth="1"/>
    <col min="22" max="22" width="0.83203125" style="66" customWidth="1"/>
    <col min="23" max="23" width="12.5" style="66" customWidth="1"/>
    <col min="24" max="24" width="9.6640625" style="66" customWidth="1"/>
    <col min="25" max="25" width="0.83203125" style="66" customWidth="1"/>
    <col min="26" max="26" width="14.6640625" style="66" customWidth="1"/>
    <col min="27" max="27" width="9.1640625" style="66" customWidth="1"/>
    <col min="28" max="28" width="0.83203125" style="66" customWidth="1"/>
    <col min="29" max="29" width="14.6640625" style="66" customWidth="1"/>
    <col min="30" max="30" width="9.1640625" style="66" customWidth="1"/>
    <col min="31" max="31" width="0.83203125" style="66" customWidth="1"/>
    <col min="32" max="32" width="14.6640625" style="66" customWidth="1"/>
    <col min="33" max="33" width="9.1640625" style="66" customWidth="1"/>
    <col min="34" max="34" width="0.83203125" style="66" customWidth="1"/>
    <col min="35" max="35" width="14.6640625" style="66" customWidth="1"/>
    <col min="36" max="36" width="9.1640625" style="66" customWidth="1"/>
    <col min="37" max="37" width="0.83203125" style="66" customWidth="1"/>
    <col min="38" max="38" width="14.6640625" style="66" customWidth="1"/>
    <col min="39" max="39" width="9.1640625" style="66" customWidth="1"/>
    <col min="40" max="41" width="0.83203125" style="66" customWidth="1"/>
    <col min="42" max="42" width="14.6640625" style="66" customWidth="1"/>
    <col min="43" max="43" width="9.1640625" style="66" customWidth="1"/>
    <col min="44" max="44" width="0.83203125" style="66" customWidth="1"/>
    <col min="45" max="46" width="14.6640625" style="66" customWidth="1"/>
    <col min="47" max="47" width="0.83203125" style="66" customWidth="1"/>
    <col min="48" max="49" width="14.6640625" style="66" customWidth="1"/>
    <col min="50" max="50" width="0.83203125" style="66" customWidth="1"/>
    <col min="51" max="52" width="14.6640625" style="66" customWidth="1"/>
    <col min="53" max="16384" width="10.83203125" style="66"/>
  </cols>
  <sheetData>
    <row r="1" spans="3:52" ht="14" thickBot="1" x14ac:dyDescent="0.2">
      <c r="C1" s="65" t="s">
        <v>9</v>
      </c>
    </row>
    <row r="2" spans="3:52" ht="14" thickTop="1" x14ac:dyDescent="0.15">
      <c r="C2" s="68" t="s">
        <v>74</v>
      </c>
      <c r="D2" s="69"/>
      <c r="E2" s="70"/>
      <c r="F2" s="71"/>
      <c r="G2" s="71"/>
      <c r="H2" s="71"/>
      <c r="K2" s="70"/>
      <c r="AL2" s="66" t="s">
        <v>9</v>
      </c>
    </row>
    <row r="3" spans="3:52" x14ac:dyDescent="0.15">
      <c r="C3" s="72" t="s">
        <v>29</v>
      </c>
      <c r="D3" s="69"/>
      <c r="E3" s="71"/>
      <c r="F3" s="71"/>
      <c r="G3" s="71"/>
      <c r="H3" s="71"/>
      <c r="AL3" s="66" t="s">
        <v>9</v>
      </c>
    </row>
    <row r="4" spans="3:52" ht="17" thickBot="1" x14ac:dyDescent="0.25">
      <c r="C4" s="73" t="s">
        <v>30</v>
      </c>
      <c r="D4" s="69"/>
      <c r="E4" s="210" t="s">
        <v>80</v>
      </c>
      <c r="F4" s="210"/>
      <c r="G4" s="210"/>
      <c r="H4" s="210"/>
      <c r="I4" s="210"/>
      <c r="J4" s="210"/>
      <c r="K4" s="211"/>
    </row>
    <row r="5" spans="3:52" ht="15" thickTop="1" thickBot="1" x14ac:dyDescent="0.2">
      <c r="C5" s="74"/>
      <c r="E5" s="65"/>
    </row>
    <row r="6" spans="3:52" ht="17" thickTop="1" x14ac:dyDescent="0.3">
      <c r="C6" s="75" t="s">
        <v>31</v>
      </c>
      <c r="D6" s="76"/>
      <c r="E6" s="77" t="s">
        <v>32</v>
      </c>
      <c r="F6" s="78">
        <f>+E15/$C$7/364</f>
        <v>523.3598901098901</v>
      </c>
      <c r="G6" s="79"/>
      <c r="H6" s="214" t="s">
        <v>33</v>
      </c>
      <c r="I6" s="215"/>
      <c r="J6" s="203"/>
      <c r="AR6" s="79"/>
      <c r="AU6" s="79"/>
      <c r="AV6" s="79"/>
      <c r="AW6" s="79"/>
      <c r="AX6" s="79"/>
      <c r="AY6" s="79"/>
      <c r="AZ6" s="79"/>
    </row>
    <row r="7" spans="3:52" x14ac:dyDescent="0.15">
      <c r="C7" s="80">
        <v>100</v>
      </c>
      <c r="D7" s="76"/>
      <c r="E7" s="81" t="s">
        <v>3</v>
      </c>
      <c r="F7" s="82">
        <f>36600*2</f>
        <v>73200</v>
      </c>
      <c r="G7" s="79"/>
      <c r="H7" s="216"/>
      <c r="I7" s="217"/>
      <c r="J7" s="203"/>
      <c r="AR7" s="79"/>
      <c r="AU7" s="79"/>
      <c r="AV7" s="79"/>
      <c r="AW7" s="79"/>
      <c r="AX7" s="79"/>
      <c r="AY7" s="79"/>
      <c r="AZ7" s="79"/>
    </row>
    <row r="8" spans="3:52" x14ac:dyDescent="0.15">
      <c r="C8" s="85" t="s">
        <v>34</v>
      </c>
      <c r="D8" s="76"/>
      <c r="E8" s="83" t="s">
        <v>35</v>
      </c>
      <c r="F8" s="86">
        <f>+C7*40000</f>
        <v>4000000</v>
      </c>
      <c r="G8" s="84"/>
      <c r="H8" s="216"/>
      <c r="I8" s="217"/>
      <c r="J8" s="203"/>
    </row>
    <row r="9" spans="3:52" ht="14" thickBot="1" x14ac:dyDescent="0.2">
      <c r="C9" s="87">
        <f>+E15/C7</f>
        <v>190503</v>
      </c>
      <c r="D9" s="76"/>
      <c r="E9" s="88" t="s">
        <v>36</v>
      </c>
      <c r="F9" s="89" t="s">
        <v>37</v>
      </c>
      <c r="G9" s="90"/>
      <c r="H9" s="218"/>
      <c r="I9" s="219"/>
      <c r="J9" s="203"/>
    </row>
    <row r="10" spans="3:52" ht="14" customHeight="1" thickTop="1" x14ac:dyDescent="0.15">
      <c r="C10" s="91" t="s">
        <v>38</v>
      </c>
      <c r="D10" s="76"/>
      <c r="E10" s="92"/>
      <c r="F10" s="93"/>
      <c r="H10" s="94"/>
      <c r="I10" s="95"/>
      <c r="J10" s="203"/>
      <c r="K10" s="220" t="s">
        <v>39</v>
      </c>
      <c r="L10" s="221"/>
      <c r="M10" s="221"/>
      <c r="N10" s="221"/>
      <c r="O10" s="221"/>
      <c r="P10" s="221"/>
      <c r="Q10" s="221"/>
      <c r="R10" s="221"/>
      <c r="S10" s="221"/>
      <c r="T10" s="96"/>
    </row>
    <row r="11" spans="3:52" ht="14" customHeight="1" x14ac:dyDescent="0.15">
      <c r="C11" s="201" t="s">
        <v>73</v>
      </c>
      <c r="D11" s="76"/>
      <c r="E11" s="98">
        <f>H11*F7</f>
        <v>5124000</v>
      </c>
      <c r="F11" s="191">
        <f>+E11/E15</f>
        <v>0.26897214217098941</v>
      </c>
      <c r="H11" s="100">
        <f>'Tableau de bord'!I7*'Tableau de bord'!K7</f>
        <v>70</v>
      </c>
      <c r="I11" s="124">
        <f>H11/H15</f>
        <v>0.26897214217098941</v>
      </c>
      <c r="J11" s="203"/>
      <c r="K11" s="222"/>
      <c r="L11" s="223"/>
      <c r="M11" s="223"/>
      <c r="N11" s="223"/>
      <c r="O11" s="223"/>
      <c r="P11" s="223"/>
      <c r="Q11" s="223"/>
      <c r="R11" s="223"/>
      <c r="S11" s="223"/>
      <c r="T11" s="190"/>
    </row>
    <row r="12" spans="3:52" ht="14" customHeight="1" thickBot="1" x14ac:dyDescent="0.2">
      <c r="C12" s="97" t="s">
        <v>40</v>
      </c>
      <c r="D12" s="76"/>
      <c r="E12" s="98">
        <f>+H12*F7</f>
        <v>6148800</v>
      </c>
      <c r="F12" s="99">
        <f>E12/E15</f>
        <v>0.32276657060518732</v>
      </c>
      <c r="H12" s="100">
        <f>+'Tableau de bord'!I13*'Tableau de bord'!K13</f>
        <v>84</v>
      </c>
      <c r="I12" s="101">
        <f>H12/H15</f>
        <v>0.32276657060518732</v>
      </c>
      <c r="J12" s="203"/>
      <c r="K12" s="224"/>
      <c r="L12" s="225"/>
      <c r="M12" s="225"/>
      <c r="N12" s="225"/>
      <c r="O12" s="225"/>
      <c r="P12" s="225"/>
      <c r="Q12" s="225"/>
      <c r="R12" s="225"/>
      <c r="S12" s="225"/>
      <c r="T12" s="102"/>
    </row>
    <row r="13" spans="3:52" ht="15" thickTop="1" thickBot="1" x14ac:dyDescent="0.2">
      <c r="C13" s="103" t="s">
        <v>41</v>
      </c>
      <c r="D13" s="76"/>
      <c r="E13" s="98">
        <f>+H13*F7</f>
        <v>4117500</v>
      </c>
      <c r="F13" s="99">
        <f>+E13/E15</f>
        <v>0.21613832853025935</v>
      </c>
      <c r="H13" s="100">
        <f>+'Tableau de bord'!I19*'Tableau de bord'!K19</f>
        <v>56.25</v>
      </c>
      <c r="I13" s="101">
        <f>+H13/H15</f>
        <v>0.21613832853025935</v>
      </c>
      <c r="J13" s="203"/>
      <c r="K13" s="105"/>
      <c r="L13" s="105"/>
      <c r="M13" s="105"/>
      <c r="N13" s="105"/>
      <c r="O13" s="105"/>
      <c r="P13" s="105"/>
      <c r="Q13" s="106"/>
      <c r="R13" s="106"/>
      <c r="S13" s="106"/>
      <c r="T13" s="106"/>
    </row>
    <row r="14" spans="3:52" ht="15" customHeight="1" thickTop="1" thickBot="1" x14ac:dyDescent="0.2">
      <c r="C14" s="107" t="s">
        <v>42</v>
      </c>
      <c r="D14" s="76"/>
      <c r="E14" s="108">
        <f>+H14*F7</f>
        <v>3660000</v>
      </c>
      <c r="F14" s="109">
        <f>+E14/E15</f>
        <v>0.19212295869356388</v>
      </c>
      <c r="H14" s="100">
        <f>+'Tableau de bord'!I24*'Tableau de bord'!K24</f>
        <v>50</v>
      </c>
      <c r="I14" s="110">
        <f>+H14/H15</f>
        <v>0.19212295869356388</v>
      </c>
      <c r="J14" s="203"/>
      <c r="K14" s="226" t="s">
        <v>43</v>
      </c>
      <c r="L14" s="111"/>
      <c r="M14" s="228" t="s">
        <v>44</v>
      </c>
      <c r="N14" s="111"/>
      <c r="O14" s="228" t="s">
        <v>45</v>
      </c>
      <c r="P14" s="111"/>
      <c r="Q14" s="228" t="s">
        <v>46</v>
      </c>
      <c r="R14" s="112"/>
      <c r="S14" s="228" t="s">
        <v>47</v>
      </c>
      <c r="T14" s="212"/>
    </row>
    <row r="15" spans="3:52" ht="18" thickTop="1" thickBot="1" x14ac:dyDescent="0.35">
      <c r="C15" s="113" t="s">
        <v>48</v>
      </c>
      <c r="D15" s="114"/>
      <c r="E15" s="115">
        <f>+SUM(E11:E14)</f>
        <v>19050300</v>
      </c>
      <c r="F15" s="116">
        <f>+SUM(F11:F14)</f>
        <v>1</v>
      </c>
      <c r="H15" s="117">
        <f>+SUM(H11:H14)</f>
        <v>260.25</v>
      </c>
      <c r="I15" s="118">
        <f>+SUM(I11:I14)</f>
        <v>1</v>
      </c>
      <c r="J15" s="203"/>
      <c r="K15" s="227"/>
      <c r="L15" s="119"/>
      <c r="M15" s="229"/>
      <c r="N15" s="119"/>
      <c r="O15" s="229"/>
      <c r="P15" s="119"/>
      <c r="Q15" s="229"/>
      <c r="R15" s="120"/>
      <c r="S15" s="229"/>
      <c r="T15" s="213"/>
      <c r="AR15" s="121"/>
      <c r="AS15" s="121"/>
      <c r="AT15" s="121"/>
      <c r="AU15" s="121"/>
      <c r="AV15" s="121"/>
      <c r="AW15" s="121"/>
      <c r="AX15" s="121"/>
      <c r="AY15" s="121"/>
      <c r="AZ15" s="121"/>
    </row>
    <row r="16" spans="3:52" ht="17" thickTop="1" x14ac:dyDescent="0.2">
      <c r="C16" s="122"/>
      <c r="D16" s="76"/>
      <c r="E16" s="123"/>
      <c r="F16" s="93"/>
      <c r="H16" s="104"/>
      <c r="I16" s="124"/>
      <c r="J16" s="203"/>
      <c r="K16" s="227"/>
      <c r="L16" s="120"/>
      <c r="M16" s="229"/>
      <c r="N16" s="120"/>
      <c r="O16" s="229"/>
      <c r="P16" s="120"/>
      <c r="Q16" s="229"/>
      <c r="R16" s="120"/>
      <c r="S16" s="229"/>
      <c r="T16" s="213"/>
    </row>
    <row r="17" spans="2:52" ht="18" x14ac:dyDescent="0.2">
      <c r="B17" s="125"/>
      <c r="C17" s="126" t="s">
        <v>49</v>
      </c>
      <c r="D17" s="127"/>
      <c r="E17" s="150">
        <f>+H17*F7</f>
        <v>3513600</v>
      </c>
      <c r="F17" s="129">
        <f>+E17/E15</f>
        <v>0.18443804034582131</v>
      </c>
      <c r="H17" s="100">
        <v>48</v>
      </c>
      <c r="I17" s="130">
        <f>+H17/H15</f>
        <v>0.18443804034582131</v>
      </c>
      <c r="J17" s="203">
        <f>+H17</f>
        <v>48</v>
      </c>
      <c r="K17" s="131">
        <f>E43</f>
        <v>3678300</v>
      </c>
      <c r="L17" s="132"/>
      <c r="M17" s="192">
        <f>K19</f>
        <v>19050300</v>
      </c>
      <c r="N17" s="132"/>
      <c r="O17" s="132">
        <f>M19</f>
        <v>4000000</v>
      </c>
      <c r="P17" s="132"/>
      <c r="Q17" s="132">
        <f>+K17</f>
        <v>3678300</v>
      </c>
      <c r="R17" s="132"/>
      <c r="S17" s="133" t="s">
        <v>9</v>
      </c>
      <c r="T17" s="134"/>
      <c r="AT17" s="135" t="s">
        <v>9</v>
      </c>
    </row>
    <row r="18" spans="2:52" ht="18" x14ac:dyDescent="0.2">
      <c r="C18" s="97"/>
      <c r="D18" s="76"/>
      <c r="E18" s="136"/>
      <c r="F18" s="137"/>
      <c r="H18" s="104"/>
      <c r="I18" s="138"/>
      <c r="J18" s="203"/>
      <c r="K18" s="139" t="s">
        <v>50</v>
      </c>
      <c r="L18" s="132" t="s">
        <v>4</v>
      </c>
      <c r="M18" s="140" t="s">
        <v>50</v>
      </c>
      <c r="N18" s="132" t="s">
        <v>4</v>
      </c>
      <c r="O18" s="140" t="s">
        <v>50</v>
      </c>
      <c r="P18" s="132" t="s">
        <v>2</v>
      </c>
      <c r="Q18" s="140" t="s">
        <v>50</v>
      </c>
      <c r="R18" s="132" t="s">
        <v>9</v>
      </c>
      <c r="S18" s="133" t="s">
        <v>9</v>
      </c>
      <c r="T18" s="134"/>
    </row>
    <row r="19" spans="2:52" ht="18" x14ac:dyDescent="0.2">
      <c r="C19" s="141" t="s">
        <v>51</v>
      </c>
      <c r="D19" s="76"/>
      <c r="E19" s="136"/>
      <c r="F19" s="137"/>
      <c r="H19" s="104"/>
      <c r="I19" s="138"/>
      <c r="J19" s="203"/>
      <c r="K19" s="131">
        <f>E15</f>
        <v>19050300</v>
      </c>
      <c r="L19" s="132"/>
      <c r="M19" s="132">
        <f>F8</f>
        <v>4000000</v>
      </c>
      <c r="N19" s="132"/>
      <c r="O19" s="132">
        <f>F8</f>
        <v>4000000</v>
      </c>
      <c r="P19" s="132"/>
      <c r="Q19" s="132">
        <f>O19</f>
        <v>4000000</v>
      </c>
      <c r="R19" s="132"/>
      <c r="S19" s="132"/>
      <c r="T19" s="134"/>
    </row>
    <row r="20" spans="2:52" x14ac:dyDescent="0.15">
      <c r="C20" s="97" t="s">
        <v>52</v>
      </c>
      <c r="D20" s="76"/>
      <c r="E20" s="142">
        <f>+F7*H20</f>
        <v>6365217.3913043477</v>
      </c>
      <c r="F20" s="137">
        <f>+E20/E15</f>
        <v>0.33412688468445889</v>
      </c>
      <c r="H20" s="143">
        <f>H22/1.15</f>
        <v>86.956521739130437</v>
      </c>
      <c r="I20" s="138">
        <f>+H20/H15</f>
        <v>0.33412688468445895</v>
      </c>
      <c r="J20" s="203"/>
      <c r="K20" s="144"/>
      <c r="L20" s="120"/>
      <c r="M20" s="120"/>
      <c r="N20" s="120"/>
      <c r="O20" s="120"/>
      <c r="P20" s="120"/>
      <c r="Q20" s="120"/>
      <c r="R20" s="120"/>
      <c r="S20" s="120"/>
      <c r="T20" s="134"/>
    </row>
    <row r="21" spans="2:52" ht="14" customHeight="1" x14ac:dyDescent="0.2">
      <c r="C21" s="97" t="s">
        <v>53</v>
      </c>
      <c r="D21" s="76"/>
      <c r="E21" s="142">
        <f>0.15*E20</f>
        <v>954782.6086956521</v>
      </c>
      <c r="F21" s="137">
        <f>E21/E$15</f>
        <v>5.0119032702668834E-2</v>
      </c>
      <c r="H21" s="143">
        <f>0.15*H20</f>
        <v>13.043478260869565</v>
      </c>
      <c r="I21" s="138">
        <f>H21/H15</f>
        <v>5.0119032702668834E-2</v>
      </c>
      <c r="J21" s="203"/>
      <c r="K21" s="145">
        <f>+K17/K19</f>
        <v>0.1930835734870317</v>
      </c>
      <c r="L21" s="146" t="s">
        <v>4</v>
      </c>
      <c r="M21" s="146">
        <f>+M17/M19</f>
        <v>4.762575</v>
      </c>
      <c r="N21" s="146" t="s">
        <v>4</v>
      </c>
      <c r="O21" s="146">
        <f>+O17/O19</f>
        <v>1</v>
      </c>
      <c r="P21" s="146" t="s">
        <v>2</v>
      </c>
      <c r="Q21" s="147">
        <f>K21*M21*O21</f>
        <v>0.91957500000000003</v>
      </c>
      <c r="R21" s="146" t="s">
        <v>2</v>
      </c>
      <c r="S21" s="148">
        <f>+Q17/Q19</f>
        <v>0.91957500000000003</v>
      </c>
      <c r="T21" s="134"/>
    </row>
    <row r="22" spans="2:52" ht="14" customHeight="1" thickBot="1" x14ac:dyDescent="0.25">
      <c r="C22" s="141" t="s">
        <v>54</v>
      </c>
      <c r="D22" s="149"/>
      <c r="E22" s="150">
        <f>+H22*F7</f>
        <v>7320000</v>
      </c>
      <c r="F22" s="99">
        <f>E22/E$15</f>
        <v>0.38424591738712777</v>
      </c>
      <c r="H22" s="100">
        <v>100</v>
      </c>
      <c r="I22" s="101">
        <f>H22/H15</f>
        <v>0.38424591738712777</v>
      </c>
      <c r="J22" s="203">
        <f>+H22</f>
        <v>100</v>
      </c>
      <c r="K22" s="151"/>
      <c r="L22" s="152"/>
      <c r="M22" s="152"/>
      <c r="N22" s="152"/>
      <c r="O22" s="152"/>
      <c r="P22" s="152"/>
      <c r="Q22" s="152"/>
      <c r="R22" s="152"/>
      <c r="S22" s="152"/>
      <c r="T22" s="153"/>
      <c r="AS22" s="135" t="s">
        <v>9</v>
      </c>
    </row>
    <row r="23" spans="2:52" ht="17" thickTop="1" x14ac:dyDescent="0.2">
      <c r="C23" s="97"/>
      <c r="D23" s="76"/>
      <c r="E23" s="136"/>
      <c r="F23" s="137"/>
      <c r="H23" s="104"/>
      <c r="I23" s="138"/>
      <c r="J23" s="203"/>
    </row>
    <row r="24" spans="2:52" x14ac:dyDescent="0.15">
      <c r="C24" s="141" t="s">
        <v>55</v>
      </c>
      <c r="D24" s="149"/>
      <c r="E24" s="154">
        <f>E17+E22</f>
        <v>10833600</v>
      </c>
      <c r="F24" s="99">
        <f>E24/E$15</f>
        <v>0.56868395773294911</v>
      </c>
      <c r="H24" s="100">
        <f>+H17+H22</f>
        <v>148</v>
      </c>
      <c r="I24" s="101">
        <f>H24/H15</f>
        <v>0.56868395773294911</v>
      </c>
      <c r="J24" s="203"/>
      <c r="AR24" s="155"/>
    </row>
    <row r="25" spans="2:52" ht="17" thickBot="1" x14ac:dyDescent="0.25">
      <c r="C25" s="107"/>
      <c r="D25" s="76"/>
      <c r="E25" s="156"/>
      <c r="F25" s="157"/>
      <c r="H25" s="104"/>
      <c r="I25" s="158"/>
      <c r="J25" s="203"/>
    </row>
    <row r="26" spans="2:52" ht="15" thickTop="1" thickBot="1" x14ac:dyDescent="0.2">
      <c r="C26" s="113" t="s">
        <v>56</v>
      </c>
      <c r="D26" s="114"/>
      <c r="E26" s="159">
        <f>E15-E24</f>
        <v>8216700</v>
      </c>
      <c r="F26" s="160">
        <f>E26/E$15</f>
        <v>0.43131604226705089</v>
      </c>
      <c r="H26" s="161">
        <f>+H15-H24</f>
        <v>112.25</v>
      </c>
      <c r="I26" s="162">
        <f>H26/H15</f>
        <v>0.43131604226705089</v>
      </c>
      <c r="J26" s="203"/>
      <c r="AR26" s="163"/>
      <c r="AS26" s="121"/>
      <c r="AT26" s="121"/>
      <c r="AU26" s="121"/>
      <c r="AV26" s="121"/>
      <c r="AW26" s="121"/>
      <c r="AX26" s="121"/>
      <c r="AY26" s="121"/>
      <c r="AZ26" s="121"/>
    </row>
    <row r="27" spans="2:52" ht="17" thickTop="1" x14ac:dyDescent="0.2">
      <c r="C27" s="122"/>
      <c r="D27" s="76"/>
      <c r="E27" s="123"/>
      <c r="F27" s="93"/>
      <c r="H27" s="104"/>
      <c r="I27" s="124"/>
      <c r="J27" s="203"/>
    </row>
    <row r="28" spans="2:52" x14ac:dyDescent="0.15">
      <c r="C28" s="97" t="s">
        <v>57</v>
      </c>
      <c r="D28" s="76"/>
      <c r="E28" s="128">
        <v>0</v>
      </c>
      <c r="F28" s="137">
        <f>E28/$E$15</f>
        <v>0</v>
      </c>
      <c r="H28" s="104">
        <v>0</v>
      </c>
      <c r="I28" s="138">
        <f>+H28/H15</f>
        <v>0</v>
      </c>
      <c r="J28" s="203"/>
    </row>
    <row r="29" spans="2:52" x14ac:dyDescent="0.15">
      <c r="C29" s="164" t="s">
        <v>58</v>
      </c>
      <c r="D29" s="165"/>
      <c r="E29" s="128">
        <v>0</v>
      </c>
      <c r="F29" s="137">
        <f t="shared" ref="F29:F36" si="0">E29/E$15</f>
        <v>0</v>
      </c>
      <c r="H29" s="104">
        <v>0</v>
      </c>
      <c r="I29" s="138">
        <f>H29/H15</f>
        <v>0</v>
      </c>
      <c r="J29" s="203"/>
    </row>
    <row r="30" spans="2:52" x14ac:dyDescent="0.15">
      <c r="C30" s="164" t="s">
        <v>59</v>
      </c>
      <c r="D30" s="165"/>
      <c r="E30" s="128">
        <v>0</v>
      </c>
      <c r="F30" s="137">
        <f t="shared" si="0"/>
        <v>0</v>
      </c>
      <c r="H30" s="104">
        <v>0</v>
      </c>
      <c r="I30" s="166">
        <f>+H30/H15</f>
        <v>0</v>
      </c>
      <c r="J30" s="203"/>
    </row>
    <row r="31" spans="2:52" x14ac:dyDescent="0.15">
      <c r="C31" s="164" t="s">
        <v>60</v>
      </c>
      <c r="D31" s="165"/>
      <c r="E31" s="128">
        <v>0</v>
      </c>
      <c r="F31" s="137">
        <f t="shared" si="0"/>
        <v>0</v>
      </c>
      <c r="H31" s="104">
        <v>0</v>
      </c>
      <c r="I31" s="138">
        <f>+I29/H15</f>
        <v>0</v>
      </c>
      <c r="J31" s="203"/>
    </row>
    <row r="32" spans="2:52" x14ac:dyDescent="0.15">
      <c r="C32" s="97" t="s">
        <v>61</v>
      </c>
      <c r="D32" s="76"/>
      <c r="E32" s="128">
        <v>0</v>
      </c>
      <c r="F32" s="137">
        <f t="shared" si="0"/>
        <v>0</v>
      </c>
      <c r="H32" s="104">
        <v>0</v>
      </c>
      <c r="I32" s="138">
        <f>+H32/H15</f>
        <v>0</v>
      </c>
      <c r="J32" s="203"/>
    </row>
    <row r="33" spans="3:52" x14ac:dyDescent="0.15">
      <c r="C33" s="97" t="s">
        <v>62</v>
      </c>
      <c r="D33" s="76"/>
      <c r="E33" s="128">
        <v>0</v>
      </c>
      <c r="F33" s="137">
        <f t="shared" si="0"/>
        <v>0</v>
      </c>
      <c r="H33" s="104">
        <v>0</v>
      </c>
      <c r="I33" s="138">
        <f>+H33/H15</f>
        <v>0</v>
      </c>
      <c r="J33" s="203"/>
    </row>
    <row r="34" spans="3:52" x14ac:dyDescent="0.15">
      <c r="C34" s="97" t="s">
        <v>63</v>
      </c>
      <c r="D34" s="76"/>
      <c r="E34" s="128">
        <v>0</v>
      </c>
      <c r="F34" s="137">
        <f t="shared" si="0"/>
        <v>0</v>
      </c>
      <c r="H34" s="104">
        <v>0</v>
      </c>
      <c r="I34" s="138">
        <f>H34/H15</f>
        <v>0</v>
      </c>
      <c r="J34" s="203"/>
    </row>
    <row r="35" spans="3:52" x14ac:dyDescent="0.15">
      <c r="C35" s="97" t="s">
        <v>64</v>
      </c>
      <c r="D35" s="76"/>
      <c r="E35" s="150">
        <f>+H35*F7</f>
        <v>4026000</v>
      </c>
      <c r="F35" s="137">
        <f t="shared" si="0"/>
        <v>0.21133525456292027</v>
      </c>
      <c r="H35" s="100">
        <v>55</v>
      </c>
      <c r="I35" s="138">
        <f>H35/H15</f>
        <v>0.21133525456292027</v>
      </c>
      <c r="J35" s="203">
        <f>+H35</f>
        <v>55</v>
      </c>
    </row>
    <row r="36" spans="3:52" ht="16" x14ac:dyDescent="0.3">
      <c r="C36" s="167" t="s">
        <v>65</v>
      </c>
      <c r="D36" s="76"/>
      <c r="E36" s="168">
        <f>SUM(E28:E35)</f>
        <v>4026000</v>
      </c>
      <c r="F36" s="169">
        <f t="shared" si="0"/>
        <v>0.21133525456292027</v>
      </c>
      <c r="H36" s="170">
        <f>SUM(H28:H35)</f>
        <v>55</v>
      </c>
      <c r="I36" s="171">
        <f t="shared" ref="I36" si="1">H36/H$15</f>
        <v>0.21133525456292027</v>
      </c>
      <c r="J36" s="203"/>
      <c r="AS36" s="135" t="s">
        <v>9</v>
      </c>
    </row>
    <row r="37" spans="3:52" ht="17" thickBot="1" x14ac:dyDescent="0.25">
      <c r="C37" s="107"/>
      <c r="D37" s="76"/>
      <c r="E37" s="156"/>
      <c r="F37" s="157"/>
      <c r="H37" s="104"/>
      <c r="I37" s="158"/>
      <c r="J37" s="203"/>
    </row>
    <row r="38" spans="3:52" ht="15" thickTop="1" thickBot="1" x14ac:dyDescent="0.2">
      <c r="C38" s="113" t="s">
        <v>66</v>
      </c>
      <c r="D38" s="114"/>
      <c r="E38" s="159">
        <f>E26-E36</f>
        <v>4190700</v>
      </c>
      <c r="F38" s="160">
        <f>E38/E$15</f>
        <v>0.21998078770413065</v>
      </c>
      <c r="H38" s="161">
        <f>+H26-H36</f>
        <v>57.25</v>
      </c>
      <c r="I38" s="162">
        <f>H38/H$15</f>
        <v>0.21998078770413065</v>
      </c>
      <c r="J38" s="203"/>
      <c r="AR38" s="163"/>
      <c r="AS38" s="121"/>
      <c r="AT38" s="121"/>
      <c r="AU38" s="121"/>
      <c r="AV38" s="121"/>
      <c r="AW38" s="121"/>
      <c r="AX38" s="121"/>
      <c r="AY38" s="121"/>
      <c r="AZ38" s="121"/>
    </row>
    <row r="39" spans="3:52" ht="17" thickTop="1" x14ac:dyDescent="0.2">
      <c r="C39" s="122"/>
      <c r="D39" s="76"/>
      <c r="E39" s="123"/>
      <c r="F39" s="93"/>
      <c r="H39" s="104"/>
      <c r="I39" s="124"/>
      <c r="J39" s="203"/>
    </row>
    <row r="40" spans="3:52" x14ac:dyDescent="0.15">
      <c r="C40" s="172" t="s">
        <v>67</v>
      </c>
      <c r="D40" s="76"/>
      <c r="E40" s="150">
        <f>+H40*F7</f>
        <v>219600</v>
      </c>
      <c r="F40" s="137">
        <f>E40/E$15</f>
        <v>1.1527377521613832E-2</v>
      </c>
      <c r="H40" s="100">
        <v>3</v>
      </c>
      <c r="I40" s="138">
        <f>H40/H$15</f>
        <v>1.1527377521613832E-2</v>
      </c>
      <c r="J40" s="203">
        <f>+H40</f>
        <v>3</v>
      </c>
      <c r="AS40" s="135" t="s">
        <v>9</v>
      </c>
    </row>
    <row r="41" spans="3:52" x14ac:dyDescent="0.15">
      <c r="C41" s="172" t="s">
        <v>68</v>
      </c>
      <c r="D41" s="76"/>
      <c r="E41" s="150">
        <f>+H41*F7</f>
        <v>292800</v>
      </c>
      <c r="F41" s="137">
        <f>E41/E$15</f>
        <v>1.536983669548511E-2</v>
      </c>
      <c r="H41" s="100">
        <v>4</v>
      </c>
      <c r="I41" s="138">
        <f>H41/H$15</f>
        <v>1.536983669548511E-2</v>
      </c>
      <c r="J41" s="203">
        <f>+H41</f>
        <v>4</v>
      </c>
      <c r="AS41" s="135"/>
    </row>
    <row r="42" spans="3:52" ht="14" thickBot="1" x14ac:dyDescent="0.2">
      <c r="C42" s="194"/>
      <c r="D42" s="76"/>
      <c r="E42" s="196" t="s">
        <v>9</v>
      </c>
      <c r="F42" s="157"/>
      <c r="H42" s="104"/>
      <c r="I42" s="158"/>
      <c r="J42" s="203"/>
    </row>
    <row r="43" spans="3:52" ht="18" thickTop="1" thickBot="1" x14ac:dyDescent="0.35">
      <c r="C43" s="195" t="s">
        <v>69</v>
      </c>
      <c r="D43" s="121"/>
      <c r="E43" s="198">
        <f>E38-(E40+E41)</f>
        <v>3678300</v>
      </c>
      <c r="F43" s="199">
        <f>E43/E$15</f>
        <v>0.1930835734870317</v>
      </c>
      <c r="H43" s="173">
        <f>H38-H40-H41</f>
        <v>50.25</v>
      </c>
      <c r="I43" s="174">
        <f>H43/H$15</f>
        <v>0.1930835734870317</v>
      </c>
      <c r="J43" s="204">
        <f>+SUM(J16:J42)</f>
        <v>210</v>
      </c>
      <c r="K43" s="205">
        <f>'Tableau de bord'!AD28</f>
        <v>50.25</v>
      </c>
      <c r="L43" s="208" t="s">
        <v>15</v>
      </c>
      <c r="M43" s="209"/>
      <c r="AR43" s="163"/>
      <c r="AS43" s="121"/>
      <c r="AT43" s="121"/>
      <c r="AU43" s="121"/>
      <c r="AV43" s="121"/>
      <c r="AW43" s="121"/>
      <c r="AX43" s="121"/>
      <c r="AY43" s="121"/>
      <c r="AZ43" s="121"/>
    </row>
    <row r="44" spans="3:52" ht="17" thickTop="1" x14ac:dyDescent="0.2">
      <c r="C44" s="202">
        <f>+E17+E22+E35+E40+E41</f>
        <v>15372000</v>
      </c>
      <c r="D44" s="76"/>
      <c r="E44" s="197"/>
      <c r="F44" s="93"/>
      <c r="H44" s="104"/>
      <c r="I44" s="124"/>
      <c r="J44" s="203"/>
    </row>
    <row r="45" spans="3:52" ht="16" x14ac:dyDescent="0.2">
      <c r="C45" s="175" t="s">
        <v>70</v>
      </c>
      <c r="D45" s="76"/>
      <c r="E45" s="193">
        <f>+$F$49*E43</f>
        <v>662094</v>
      </c>
      <c r="F45" s="137">
        <f>E45/E$15</f>
        <v>3.4755043227665705E-2</v>
      </c>
      <c r="H45" s="176">
        <f>+H43*F49</f>
        <v>9.0449999999999999</v>
      </c>
      <c r="I45" s="138">
        <f>H45/H$15</f>
        <v>3.4755043227665705E-2</v>
      </c>
      <c r="J45" s="203"/>
      <c r="AS45" s="135" t="s">
        <v>9</v>
      </c>
    </row>
    <row r="46" spans="3:52" ht="17" thickBot="1" x14ac:dyDescent="0.25">
      <c r="C46" s="69"/>
      <c r="D46" s="76"/>
      <c r="E46" s="156"/>
      <c r="F46" s="157"/>
      <c r="H46" s="104"/>
      <c r="I46" s="158"/>
      <c r="J46" s="203"/>
    </row>
    <row r="47" spans="3:52" ht="18" thickTop="1" thickBot="1" x14ac:dyDescent="0.35">
      <c r="C47" s="177" t="s">
        <v>71</v>
      </c>
      <c r="D47" s="114"/>
      <c r="E47" s="178">
        <f>E43-E45</f>
        <v>3016206</v>
      </c>
      <c r="F47" s="179">
        <f>E47/E$15</f>
        <v>0.158328530259366</v>
      </c>
      <c r="H47" s="173">
        <f>+H43-H45</f>
        <v>41.204999999999998</v>
      </c>
      <c r="I47" s="118">
        <f>H47/H$15</f>
        <v>0.158328530259366</v>
      </c>
      <c r="J47" s="203"/>
      <c r="AR47" s="163"/>
      <c r="AS47" s="180" t="s">
        <v>9</v>
      </c>
      <c r="AT47" s="180" t="s">
        <v>9</v>
      </c>
      <c r="AU47" s="121"/>
      <c r="AV47" s="121"/>
      <c r="AW47" s="121"/>
      <c r="AX47" s="121"/>
      <c r="AY47" s="121"/>
      <c r="AZ47" s="121"/>
    </row>
    <row r="48" spans="3:52" ht="15" thickTop="1" thickBot="1" x14ac:dyDescent="0.2">
      <c r="C48" s="181"/>
      <c r="E48" s="182"/>
      <c r="P48" s="183"/>
    </row>
    <row r="49" spans="3:42" ht="15" thickTop="1" thickBot="1" x14ac:dyDescent="0.2">
      <c r="D49" s="184"/>
      <c r="E49" s="185" t="s">
        <v>72</v>
      </c>
      <c r="F49" s="186">
        <v>0.18</v>
      </c>
      <c r="AP49" s="187" t="s">
        <v>9</v>
      </c>
    </row>
    <row r="50" spans="3:42" ht="14" thickTop="1" x14ac:dyDescent="0.15">
      <c r="I50" s="188"/>
    </row>
    <row r="51" spans="3:42" x14ac:dyDescent="0.15">
      <c r="I51" s="188"/>
    </row>
    <row r="52" spans="3:42" ht="24" x14ac:dyDescent="0.25">
      <c r="C52" s="189"/>
      <c r="H52" s="66"/>
    </row>
    <row r="53" spans="3:42" x14ac:dyDescent="0.15">
      <c r="H53" s="66"/>
    </row>
    <row r="54" spans="3:42" ht="24" x14ac:dyDescent="0.25">
      <c r="C54" s="189"/>
      <c r="H54" s="66"/>
    </row>
    <row r="55" spans="3:42" x14ac:dyDescent="0.15">
      <c r="H55" s="66"/>
    </row>
    <row r="56" spans="3:42" ht="24" x14ac:dyDescent="0.25">
      <c r="C56" s="189"/>
      <c r="H56" s="66"/>
    </row>
    <row r="57" spans="3:42" x14ac:dyDescent="0.15">
      <c r="H57" s="66"/>
    </row>
    <row r="58" spans="3:42" ht="24" x14ac:dyDescent="0.25">
      <c r="C58" s="189"/>
      <c r="H58" s="66"/>
    </row>
    <row r="59" spans="3:42" ht="24" x14ac:dyDescent="0.25">
      <c r="C59" s="189"/>
      <c r="H59" s="66"/>
    </row>
    <row r="60" spans="3:42" x14ac:dyDescent="0.15">
      <c r="H60" s="66"/>
    </row>
    <row r="61" spans="3:42" x14ac:dyDescent="0.15">
      <c r="H61" s="66"/>
    </row>
    <row r="62" spans="3:42" x14ac:dyDescent="0.15">
      <c r="H62" s="66"/>
    </row>
    <row r="63" spans="3:42" x14ac:dyDescent="0.15">
      <c r="H63" s="66"/>
    </row>
    <row r="64" spans="3:42" x14ac:dyDescent="0.15">
      <c r="H64" s="66"/>
    </row>
    <row r="65" spans="8:8" x14ac:dyDescent="0.15">
      <c r="H65" s="66"/>
    </row>
    <row r="66" spans="8:8" x14ac:dyDescent="0.15">
      <c r="H66" s="66"/>
    </row>
    <row r="67" spans="8:8" x14ac:dyDescent="0.15">
      <c r="H67" s="66"/>
    </row>
    <row r="68" spans="8:8" x14ac:dyDescent="0.15">
      <c r="H68" s="66"/>
    </row>
    <row r="69" spans="8:8" x14ac:dyDescent="0.15">
      <c r="H69" s="66"/>
    </row>
    <row r="70" spans="8:8" x14ac:dyDescent="0.15">
      <c r="H70" s="66"/>
    </row>
    <row r="71" spans="8:8" x14ac:dyDescent="0.15">
      <c r="H71" s="66"/>
    </row>
    <row r="72" spans="8:8" x14ac:dyDescent="0.15">
      <c r="H72" s="66"/>
    </row>
    <row r="73" spans="8:8" x14ac:dyDescent="0.15">
      <c r="H73" s="66"/>
    </row>
    <row r="74" spans="8:8" x14ac:dyDescent="0.15">
      <c r="H74" s="66"/>
    </row>
    <row r="75" spans="8:8" x14ac:dyDescent="0.15">
      <c r="H75" s="66"/>
    </row>
    <row r="76" spans="8:8" x14ac:dyDescent="0.15">
      <c r="H76" s="66"/>
    </row>
    <row r="77" spans="8:8" x14ac:dyDescent="0.15">
      <c r="H77" s="66"/>
    </row>
    <row r="78" spans="8:8" x14ac:dyDescent="0.15">
      <c r="H78" s="66"/>
    </row>
    <row r="79" spans="8:8" x14ac:dyDescent="0.15">
      <c r="H79" s="66"/>
    </row>
    <row r="80" spans="8:8" x14ac:dyDescent="0.15">
      <c r="H80" s="66"/>
    </row>
    <row r="81" spans="8:8" x14ac:dyDescent="0.15">
      <c r="H81" s="66"/>
    </row>
    <row r="82" spans="8:8" x14ac:dyDescent="0.15">
      <c r="H82" s="66"/>
    </row>
    <row r="83" spans="8:8" x14ac:dyDescent="0.15">
      <c r="H83" s="66"/>
    </row>
    <row r="84" spans="8:8" x14ac:dyDescent="0.15">
      <c r="H84" s="66"/>
    </row>
    <row r="85" spans="8:8" x14ac:dyDescent="0.15">
      <c r="H85" s="66"/>
    </row>
    <row r="86" spans="8:8" x14ac:dyDescent="0.15">
      <c r="H86" s="66"/>
    </row>
    <row r="87" spans="8:8" x14ac:dyDescent="0.15">
      <c r="H87" s="66"/>
    </row>
    <row r="88" spans="8:8" x14ac:dyDescent="0.15">
      <c r="H88" s="66"/>
    </row>
    <row r="89" spans="8:8" x14ac:dyDescent="0.15">
      <c r="H89" s="66"/>
    </row>
    <row r="90" spans="8:8" x14ac:dyDescent="0.15">
      <c r="H90" s="66"/>
    </row>
    <row r="91" spans="8:8" x14ac:dyDescent="0.15">
      <c r="H91" s="66"/>
    </row>
    <row r="92" spans="8:8" x14ac:dyDescent="0.15">
      <c r="H92" s="66"/>
    </row>
    <row r="93" spans="8:8" x14ac:dyDescent="0.15">
      <c r="H93" s="66"/>
    </row>
    <row r="94" spans="8:8" x14ac:dyDescent="0.15">
      <c r="H94" s="66"/>
    </row>
    <row r="95" spans="8:8" x14ac:dyDescent="0.15">
      <c r="H95" s="66"/>
    </row>
    <row r="96" spans="8:8" x14ac:dyDescent="0.15">
      <c r="H96" s="66"/>
    </row>
    <row r="97" spans="8:8" x14ac:dyDescent="0.15">
      <c r="H97" s="66"/>
    </row>
    <row r="98" spans="8:8" x14ac:dyDescent="0.15">
      <c r="H98" s="66"/>
    </row>
    <row r="99" spans="8:8" x14ac:dyDescent="0.15">
      <c r="H99" s="66"/>
    </row>
    <row r="100" spans="8:8" x14ac:dyDescent="0.15">
      <c r="H100" s="66"/>
    </row>
    <row r="101" spans="8:8" x14ac:dyDescent="0.15">
      <c r="H101" s="66"/>
    </row>
    <row r="102" spans="8:8" x14ac:dyDescent="0.15">
      <c r="H102" s="66"/>
    </row>
    <row r="103" spans="8:8" x14ac:dyDescent="0.15">
      <c r="H103" s="66"/>
    </row>
    <row r="104" spans="8:8" x14ac:dyDescent="0.15">
      <c r="H104" s="66"/>
    </row>
    <row r="105" spans="8:8" x14ac:dyDescent="0.15">
      <c r="H105" s="66"/>
    </row>
    <row r="106" spans="8:8" x14ac:dyDescent="0.15">
      <c r="H106" s="66"/>
    </row>
    <row r="107" spans="8:8" x14ac:dyDescent="0.15">
      <c r="H107" s="66"/>
    </row>
    <row r="108" spans="8:8" x14ac:dyDescent="0.15">
      <c r="H108" s="66"/>
    </row>
    <row r="109" spans="8:8" x14ac:dyDescent="0.15">
      <c r="H109" s="66"/>
    </row>
    <row r="110" spans="8:8" x14ac:dyDescent="0.15">
      <c r="H110" s="66"/>
    </row>
    <row r="111" spans="8:8" x14ac:dyDescent="0.15">
      <c r="H111" s="66"/>
    </row>
    <row r="112" spans="8:8" x14ac:dyDescent="0.15">
      <c r="H112" s="66"/>
    </row>
    <row r="113" spans="8:8" x14ac:dyDescent="0.15">
      <c r="H113" s="66"/>
    </row>
    <row r="114" spans="8:8" x14ac:dyDescent="0.15">
      <c r="H114" s="66"/>
    </row>
    <row r="115" spans="8:8" x14ac:dyDescent="0.15">
      <c r="H115" s="66"/>
    </row>
    <row r="116" spans="8:8" x14ac:dyDescent="0.15">
      <c r="H116" s="66"/>
    </row>
    <row r="117" spans="8:8" x14ac:dyDescent="0.15">
      <c r="H117" s="66"/>
    </row>
    <row r="118" spans="8:8" x14ac:dyDescent="0.15">
      <c r="H118" s="66"/>
    </row>
    <row r="119" spans="8:8" x14ac:dyDescent="0.15">
      <c r="H119" s="66"/>
    </row>
    <row r="120" spans="8:8" x14ac:dyDescent="0.15">
      <c r="H120" s="66"/>
    </row>
    <row r="121" spans="8:8" x14ac:dyDescent="0.15">
      <c r="H121" s="66"/>
    </row>
    <row r="122" spans="8:8" x14ac:dyDescent="0.15">
      <c r="H122" s="66"/>
    </row>
    <row r="123" spans="8:8" x14ac:dyDescent="0.15">
      <c r="H123" s="66"/>
    </row>
    <row r="124" spans="8:8" x14ac:dyDescent="0.15">
      <c r="H124" s="66"/>
    </row>
    <row r="125" spans="8:8" x14ac:dyDescent="0.15">
      <c r="H125" s="66"/>
    </row>
    <row r="126" spans="8:8" x14ac:dyDescent="0.15">
      <c r="H126" s="66"/>
    </row>
    <row r="127" spans="8:8" x14ac:dyDescent="0.15">
      <c r="H127" s="66"/>
    </row>
    <row r="128" spans="8:8" x14ac:dyDescent="0.15">
      <c r="H128" s="66"/>
    </row>
    <row r="129" spans="8:8" x14ac:dyDescent="0.15">
      <c r="H129" s="66"/>
    </row>
    <row r="130" spans="8:8" x14ac:dyDescent="0.15">
      <c r="H130" s="66"/>
    </row>
    <row r="131" spans="8:8" x14ac:dyDescent="0.15">
      <c r="H131" s="66"/>
    </row>
    <row r="132" spans="8:8" x14ac:dyDescent="0.15">
      <c r="H132" s="66"/>
    </row>
    <row r="133" spans="8:8" x14ac:dyDescent="0.15">
      <c r="H133" s="66"/>
    </row>
    <row r="134" spans="8:8" x14ac:dyDescent="0.15">
      <c r="H134" s="66"/>
    </row>
    <row r="135" spans="8:8" x14ac:dyDescent="0.15">
      <c r="H135" s="66"/>
    </row>
    <row r="136" spans="8:8" x14ac:dyDescent="0.15">
      <c r="H136" s="66"/>
    </row>
    <row r="137" spans="8:8" x14ac:dyDescent="0.15">
      <c r="H137" s="66"/>
    </row>
    <row r="138" spans="8:8" x14ac:dyDescent="0.15">
      <c r="H138" s="66"/>
    </row>
    <row r="139" spans="8:8" x14ac:dyDescent="0.15">
      <c r="H139" s="66"/>
    </row>
    <row r="140" spans="8:8" x14ac:dyDescent="0.15">
      <c r="H140" s="66"/>
    </row>
    <row r="141" spans="8:8" x14ac:dyDescent="0.15">
      <c r="H141" s="66"/>
    </row>
    <row r="142" spans="8:8" x14ac:dyDescent="0.15">
      <c r="H142" s="66"/>
    </row>
    <row r="143" spans="8:8" x14ac:dyDescent="0.15">
      <c r="H143" s="66"/>
    </row>
    <row r="144" spans="8:8" x14ac:dyDescent="0.15">
      <c r="H144" s="66"/>
    </row>
    <row r="145" spans="8:8" x14ac:dyDescent="0.15">
      <c r="H145" s="66"/>
    </row>
    <row r="146" spans="8:8" x14ac:dyDescent="0.15">
      <c r="H146" s="66"/>
    </row>
    <row r="147" spans="8:8" x14ac:dyDescent="0.15">
      <c r="H147" s="66"/>
    </row>
    <row r="148" spans="8:8" x14ac:dyDescent="0.15">
      <c r="H148" s="66"/>
    </row>
    <row r="149" spans="8:8" x14ac:dyDescent="0.15">
      <c r="H149" s="66"/>
    </row>
    <row r="150" spans="8:8" x14ac:dyDescent="0.15">
      <c r="H150" s="66"/>
    </row>
    <row r="151" spans="8:8" x14ac:dyDescent="0.15">
      <c r="H151" s="66"/>
    </row>
    <row r="152" spans="8:8" x14ac:dyDescent="0.15">
      <c r="H152" s="66"/>
    </row>
    <row r="153" spans="8:8" x14ac:dyDescent="0.15">
      <c r="H153" s="66"/>
    </row>
    <row r="154" spans="8:8" x14ac:dyDescent="0.15">
      <c r="H154" s="66"/>
    </row>
    <row r="155" spans="8:8" x14ac:dyDescent="0.15">
      <c r="H155" s="66"/>
    </row>
    <row r="156" spans="8:8" x14ac:dyDescent="0.15">
      <c r="H156" s="66"/>
    </row>
    <row r="157" spans="8:8" x14ac:dyDescent="0.15">
      <c r="H157" s="66"/>
    </row>
    <row r="158" spans="8:8" x14ac:dyDescent="0.15">
      <c r="H158" s="66"/>
    </row>
    <row r="159" spans="8:8" x14ac:dyDescent="0.15">
      <c r="H159" s="66"/>
    </row>
    <row r="160" spans="8:8" x14ac:dyDescent="0.15">
      <c r="H160" s="66"/>
    </row>
    <row r="161" spans="8:8" x14ac:dyDescent="0.15">
      <c r="H161" s="66"/>
    </row>
    <row r="162" spans="8:8" x14ac:dyDescent="0.15">
      <c r="H162" s="66"/>
    </row>
    <row r="163" spans="8:8" x14ac:dyDescent="0.15">
      <c r="H163" s="66"/>
    </row>
    <row r="164" spans="8:8" x14ac:dyDescent="0.15">
      <c r="H164" s="66"/>
    </row>
    <row r="165" spans="8:8" x14ac:dyDescent="0.15">
      <c r="H165" s="66"/>
    </row>
    <row r="166" spans="8:8" x14ac:dyDescent="0.15">
      <c r="H166" s="66"/>
    </row>
    <row r="167" spans="8:8" x14ac:dyDescent="0.15">
      <c r="H167" s="66"/>
    </row>
    <row r="168" spans="8:8" x14ac:dyDescent="0.15">
      <c r="H168" s="66"/>
    </row>
    <row r="169" spans="8:8" x14ac:dyDescent="0.15">
      <c r="H169" s="66"/>
    </row>
    <row r="170" spans="8:8" x14ac:dyDescent="0.15">
      <c r="H170" s="66"/>
    </row>
    <row r="171" spans="8:8" x14ac:dyDescent="0.15">
      <c r="H171" s="66"/>
    </row>
    <row r="172" spans="8:8" x14ac:dyDescent="0.15">
      <c r="H172" s="66"/>
    </row>
    <row r="173" spans="8:8" x14ac:dyDescent="0.15">
      <c r="H173" s="66"/>
    </row>
    <row r="174" spans="8:8" x14ac:dyDescent="0.15">
      <c r="H174" s="66"/>
    </row>
    <row r="175" spans="8:8" x14ac:dyDescent="0.15">
      <c r="H175" s="66"/>
    </row>
    <row r="176" spans="8:8" x14ac:dyDescent="0.15">
      <c r="H176" s="66"/>
    </row>
    <row r="177" spans="8:8" x14ac:dyDescent="0.15">
      <c r="H177" s="66"/>
    </row>
    <row r="178" spans="8:8" x14ac:dyDescent="0.15">
      <c r="H178" s="66"/>
    </row>
    <row r="179" spans="8:8" x14ac:dyDescent="0.15">
      <c r="H179" s="66"/>
    </row>
    <row r="180" spans="8:8" x14ac:dyDescent="0.15">
      <c r="H180" s="66"/>
    </row>
    <row r="181" spans="8:8" x14ac:dyDescent="0.15">
      <c r="H181" s="66"/>
    </row>
    <row r="182" spans="8:8" x14ac:dyDescent="0.15">
      <c r="H182" s="66"/>
    </row>
    <row r="183" spans="8:8" x14ac:dyDescent="0.15">
      <c r="H183" s="66"/>
    </row>
    <row r="184" spans="8:8" x14ac:dyDescent="0.15">
      <c r="H184" s="66"/>
    </row>
    <row r="185" spans="8:8" x14ac:dyDescent="0.15">
      <c r="H185" s="66"/>
    </row>
    <row r="186" spans="8:8" x14ac:dyDescent="0.15">
      <c r="H186" s="66"/>
    </row>
    <row r="187" spans="8:8" x14ac:dyDescent="0.15">
      <c r="H187" s="66"/>
    </row>
    <row r="188" spans="8:8" x14ac:dyDescent="0.15">
      <c r="H188" s="66"/>
    </row>
    <row r="189" spans="8:8" x14ac:dyDescent="0.15">
      <c r="H189" s="66"/>
    </row>
    <row r="190" spans="8:8" x14ac:dyDescent="0.15">
      <c r="H190" s="66"/>
    </row>
    <row r="191" spans="8:8" x14ac:dyDescent="0.15">
      <c r="H191" s="66"/>
    </row>
    <row r="192" spans="8:8" x14ac:dyDescent="0.15">
      <c r="H192" s="66"/>
    </row>
    <row r="193" spans="8:8" x14ac:dyDescent="0.15">
      <c r="H193" s="66"/>
    </row>
    <row r="194" spans="8:8" x14ac:dyDescent="0.15">
      <c r="H194" s="66"/>
    </row>
    <row r="195" spans="8:8" x14ac:dyDescent="0.15">
      <c r="H195" s="66"/>
    </row>
    <row r="196" spans="8:8" x14ac:dyDescent="0.15">
      <c r="H196" s="66"/>
    </row>
    <row r="197" spans="8:8" ht="20" customHeight="1" x14ac:dyDescent="0.15">
      <c r="H197" s="66"/>
    </row>
    <row r="198" spans="8:8" ht="20" customHeight="1" x14ac:dyDescent="0.15">
      <c r="H198" s="66"/>
    </row>
    <row r="199" spans="8:8" ht="20" customHeight="1" x14ac:dyDescent="0.15">
      <c r="H199" s="66"/>
    </row>
    <row r="200" spans="8:8" x14ac:dyDescent="0.15">
      <c r="H200" s="66"/>
    </row>
    <row r="201" spans="8:8" ht="20" customHeight="1" x14ac:dyDescent="0.15">
      <c r="H201" s="66"/>
    </row>
    <row r="202" spans="8:8" ht="20" customHeight="1" x14ac:dyDescent="0.15">
      <c r="H202" s="66"/>
    </row>
    <row r="203" spans="8:8" ht="20" customHeight="1" x14ac:dyDescent="0.15">
      <c r="H203" s="66"/>
    </row>
    <row r="204" spans="8:8" ht="20" customHeight="1" x14ac:dyDescent="0.15">
      <c r="H204" s="66"/>
    </row>
    <row r="205" spans="8:8" ht="20" customHeight="1" x14ac:dyDescent="0.15">
      <c r="H205" s="66"/>
    </row>
    <row r="206" spans="8:8" ht="20" customHeight="1" x14ac:dyDescent="0.15">
      <c r="H206" s="66"/>
    </row>
    <row r="207" spans="8:8" ht="20" customHeight="1" x14ac:dyDescent="0.15">
      <c r="H207" s="66"/>
    </row>
    <row r="208" spans="8:8" ht="20" customHeight="1" x14ac:dyDescent="0.15">
      <c r="H208" s="66"/>
    </row>
    <row r="209" spans="8:8" ht="20" customHeight="1" x14ac:dyDescent="0.15">
      <c r="H209" s="66"/>
    </row>
    <row r="210" spans="8:8" ht="10" customHeight="1" x14ac:dyDescent="0.15">
      <c r="H210" s="66"/>
    </row>
    <row r="211" spans="8:8" ht="20" customHeight="1" x14ac:dyDescent="0.15">
      <c r="H211" s="66"/>
    </row>
    <row r="212" spans="8:8" ht="10" customHeight="1" x14ac:dyDescent="0.15">
      <c r="H212" s="66"/>
    </row>
    <row r="213" spans="8:8" ht="20" customHeight="1" x14ac:dyDescent="0.15">
      <c r="H213" s="66"/>
    </row>
    <row r="214" spans="8:8" ht="20" customHeight="1" x14ac:dyDescent="0.15">
      <c r="H214" s="66"/>
    </row>
    <row r="215" spans="8:8" ht="20" customHeight="1" x14ac:dyDescent="0.15">
      <c r="H215" s="66"/>
    </row>
    <row r="216" spans="8:8" ht="20" customHeight="1" x14ac:dyDescent="0.15">
      <c r="H216" s="66"/>
    </row>
    <row r="217" spans="8:8" ht="10" customHeight="1" x14ac:dyDescent="0.15">
      <c r="H217" s="66"/>
    </row>
    <row r="218" spans="8:8" ht="20" customHeight="1" x14ac:dyDescent="0.15">
      <c r="H218" s="66"/>
    </row>
    <row r="219" spans="8:8" ht="10" customHeight="1" x14ac:dyDescent="0.15">
      <c r="H219" s="66"/>
    </row>
    <row r="220" spans="8:8" ht="20" customHeight="1" x14ac:dyDescent="0.15">
      <c r="H220" s="66"/>
    </row>
    <row r="221" spans="8:8" ht="10" customHeight="1" x14ac:dyDescent="0.15">
      <c r="H221" s="66"/>
    </row>
    <row r="222" spans="8:8" ht="20" customHeight="1" x14ac:dyDescent="0.15">
      <c r="H222" s="66"/>
    </row>
    <row r="223" spans="8:8" ht="20" customHeight="1" x14ac:dyDescent="0.15">
      <c r="H223" s="66"/>
    </row>
    <row r="224" spans="8:8" ht="20" customHeight="1" x14ac:dyDescent="0.15">
      <c r="H224" s="66"/>
    </row>
    <row r="225" spans="8:8" ht="20" customHeight="1" x14ac:dyDescent="0.15">
      <c r="H225" s="66"/>
    </row>
    <row r="226" spans="8:8" ht="20" customHeight="1" x14ac:dyDescent="0.15">
      <c r="H226" s="66"/>
    </row>
    <row r="227" spans="8:8" ht="20" customHeight="1" x14ac:dyDescent="0.15">
      <c r="H227" s="66"/>
    </row>
    <row r="228" spans="8:8" ht="20" customHeight="1" x14ac:dyDescent="0.15">
      <c r="H228" s="66"/>
    </row>
    <row r="229" spans="8:8" ht="20" customHeight="1" x14ac:dyDescent="0.15">
      <c r="H229" s="66"/>
    </row>
    <row r="230" spans="8:8" ht="20" customHeight="1" x14ac:dyDescent="0.15">
      <c r="H230" s="66"/>
    </row>
    <row r="231" spans="8:8" ht="10" customHeight="1" x14ac:dyDescent="0.15">
      <c r="H231" s="66"/>
    </row>
    <row r="232" spans="8:8" ht="20" customHeight="1" x14ac:dyDescent="0.15">
      <c r="H232" s="66"/>
    </row>
    <row r="233" spans="8:8" ht="10" customHeight="1" x14ac:dyDescent="0.15">
      <c r="H233" s="66"/>
    </row>
    <row r="234" spans="8:8" ht="20" customHeight="1" x14ac:dyDescent="0.15">
      <c r="H234" s="66"/>
    </row>
    <row r="235" spans="8:8" ht="20" customHeight="1" x14ac:dyDescent="0.15">
      <c r="H235" s="66"/>
    </row>
    <row r="236" spans="8:8" ht="10" customHeight="1" x14ac:dyDescent="0.15">
      <c r="H236" s="66"/>
    </row>
    <row r="237" spans="8:8" ht="20" customHeight="1" x14ac:dyDescent="0.15">
      <c r="H237" s="66"/>
    </row>
    <row r="238" spans="8:8" ht="10" customHeight="1" x14ac:dyDescent="0.15">
      <c r="H238" s="66"/>
    </row>
    <row r="239" spans="8:8" ht="20" customHeight="1" x14ac:dyDescent="0.15">
      <c r="H239" s="66"/>
    </row>
    <row r="240" spans="8:8" ht="10" customHeight="1" x14ac:dyDescent="0.15">
      <c r="H240" s="66"/>
    </row>
    <row r="241" spans="8:8" ht="20" customHeight="1" x14ac:dyDescent="0.15">
      <c r="H241" s="66"/>
    </row>
    <row r="242" spans="8:8" ht="20" customHeight="1" x14ac:dyDescent="0.15">
      <c r="H242" s="66"/>
    </row>
    <row r="243" spans="8:8" ht="20" customHeight="1" x14ac:dyDescent="0.15">
      <c r="H243" s="66"/>
    </row>
    <row r="244" spans="8:8" x14ac:dyDescent="0.15">
      <c r="H244" s="66"/>
    </row>
    <row r="245" spans="8:8" x14ac:dyDescent="0.15">
      <c r="H245" s="66"/>
    </row>
  </sheetData>
  <mergeCells count="10">
    <mergeCell ref="L43:M43"/>
    <mergeCell ref="E4:K4"/>
    <mergeCell ref="T14:T16"/>
    <mergeCell ref="H6:I9"/>
    <mergeCell ref="K10:S12"/>
    <mergeCell ref="K14:K16"/>
    <mergeCell ref="M14:M16"/>
    <mergeCell ref="O14:O16"/>
    <mergeCell ref="Q14:Q16"/>
    <mergeCell ref="S14:S16"/>
  </mergeCells>
  <pageMargins left="0.75000000000000011" right="0.75000000000000011" top="1" bottom="1" header="0.49" footer="0.49"/>
  <pageSetup paperSize="5" orientation="landscape"/>
  <headerFooter>
    <oddFooter>&amp;C&amp;K000000Budget et indicateurs de performance (430-763-Me)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Tableau de bord</vt:lpstr>
      <vt:lpstr>État des Résultats</vt:lpstr>
      <vt:lpstr>'État des Résultats'!Zone_d_impression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Christian Latour</cp:lastModifiedBy>
  <dcterms:created xsi:type="dcterms:W3CDTF">2019-11-28T17:57:06Z</dcterms:created>
  <dcterms:modified xsi:type="dcterms:W3CDTF">2024-04-30T12:22:43Z</dcterms:modified>
</cp:coreProperties>
</file>