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defaultThemeVersion="166925"/>
  <mc:AlternateContent xmlns:mc="http://schemas.openxmlformats.org/markup-compatibility/2006">
    <mc:Choice Requires="x15">
      <x15ac:absPath xmlns:x15ac="http://schemas.microsoft.com/office/spreadsheetml/2010/11/ac" url="/Users/christianlatour/Library/Mobile Documents/com~apple~CloudDocs/COURS MÉRICI/Hiver 2022/Finance gaganante (430-853-ME)/Projet intégrateur (projet de développement)/"/>
    </mc:Choice>
  </mc:AlternateContent>
  <xr:revisionPtr revIDLastSave="0" documentId="8_{20648730-5BCC-8141-B45F-D47A391F5F3D}" xr6:coauthVersionLast="47" xr6:coauthVersionMax="47" xr10:uidLastSave="{00000000-0000-0000-0000-000000000000}"/>
  <bookViews>
    <workbookView xWindow="1380" yWindow="500" windowWidth="49820" windowHeight="21940" xr2:uid="{C9E6D259-BE3E-B64B-A299-46EBEF31DF44}"/>
  </bookViews>
  <sheets>
    <sheet name="Calendrier 2023" sheetId="7" r:id="rId1"/>
    <sheet name="Achalandage journalier" sheetId="1" r:id="rId2"/>
    <sheet name="% Occupation" sheetId="2" r:id="rId3"/>
    <sheet name="Calcul CmO et PmO" sheetId="4" r:id="rId4"/>
    <sheet name="Calcul CmO, PmO, Etc." sheetId="6" r:id="rId5"/>
    <sheet name="Formule pour le calcul D" sheetId="3" r:id="rId6"/>
    <sheet name="État des Résultats" sheetId="5" r:id="rId7"/>
  </sheets>
  <externalReferences>
    <externalReference r:id="rId8"/>
  </externalReferences>
  <definedNames>
    <definedName name="image1" localSheetId="2">#REF!</definedName>
    <definedName name="image1" localSheetId="1">#REF!</definedName>
    <definedName name="image1" localSheetId="3">#REF!</definedName>
    <definedName name="image1" localSheetId="4">#REF!</definedName>
    <definedName name="image1" localSheetId="0">#REF!</definedName>
    <definedName name="image1" localSheetId="6">#REF!</definedName>
    <definedName name="image1" localSheetId="5">#REF!</definedName>
    <definedName name="image1">#REF!</definedName>
    <definedName name="image2" localSheetId="2">#REF!</definedName>
    <definedName name="image2" localSheetId="3">#REF!</definedName>
    <definedName name="image2" localSheetId="0">#REF!</definedName>
    <definedName name="image2" localSheetId="6">#REF!</definedName>
    <definedName name="image2" localSheetId="5">#REF!</definedName>
    <definedName name="image2">#REF!</definedName>
    <definedName name="_xlnm.Print_Area" localSheetId="6">'État des Résultats'!$C$2:$AS$45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6" i="1" l="1"/>
  <c r="O6" i="1"/>
  <c r="N6" i="1"/>
  <c r="M6" i="1"/>
  <c r="M5" i="1"/>
  <c r="L6" i="1"/>
  <c r="K6" i="1"/>
  <c r="J6" i="1"/>
  <c r="I6" i="1"/>
  <c r="H6" i="1"/>
  <c r="G6" i="1"/>
  <c r="F6" i="1"/>
  <c r="E6" i="1"/>
  <c r="D6" i="1"/>
  <c r="D7" i="1"/>
  <c r="P5" i="1"/>
  <c r="O5" i="1"/>
  <c r="N5" i="1"/>
  <c r="L5" i="1"/>
  <c r="K5" i="1"/>
  <c r="J5" i="1"/>
  <c r="I5" i="1"/>
  <c r="H5" i="1"/>
  <c r="G5" i="1"/>
  <c r="F5" i="1"/>
  <c r="E5" i="1"/>
  <c r="D5" i="1"/>
  <c r="C28" i="7"/>
  <c r="C35" i="7" s="1"/>
  <c r="C27" i="7"/>
  <c r="C34" i="7" s="1"/>
  <c r="C26" i="7"/>
  <c r="C33" i="7" s="1"/>
  <c r="C25" i="7"/>
  <c r="C32" i="7" s="1"/>
  <c r="C24" i="7"/>
  <c r="C31" i="7" s="1"/>
  <c r="C21" i="7"/>
  <c r="C20" i="7"/>
  <c r="C19" i="7"/>
  <c r="C18" i="7"/>
  <c r="C17" i="7"/>
  <c r="C16" i="7"/>
  <c r="C23" i="7" s="1"/>
  <c r="C30" i="7" s="1"/>
  <c r="C15" i="7"/>
  <c r="C22" i="7" s="1"/>
  <c r="C29" i="7" s="1"/>
  <c r="R7" i="7"/>
  <c r="E6" i="7"/>
  <c r="F6" i="7" s="1"/>
  <c r="G6" i="7" s="1"/>
  <c r="H6" i="7" s="1"/>
  <c r="I6" i="7" l="1"/>
  <c r="J6" i="7" s="1"/>
  <c r="K6" i="7" s="1"/>
  <c r="L6" i="7" s="1"/>
  <c r="M6" i="7" s="1"/>
  <c r="N6" i="7" s="1"/>
  <c r="O6" i="7" s="1"/>
  <c r="P6" i="7" s="1"/>
  <c r="F19" i="6"/>
  <c r="F18" i="6"/>
  <c r="F17" i="6"/>
  <c r="F16" i="6"/>
  <c r="F15" i="6"/>
  <c r="F14" i="6"/>
  <c r="F13" i="6"/>
  <c r="F12" i="6"/>
  <c r="G11" i="6"/>
  <c r="F11" i="6"/>
  <c r="E21" i="6"/>
  <c r="F10" i="6"/>
  <c r="BA22" i="5"/>
  <c r="BB13" i="5" s="1"/>
  <c r="BB17" i="5"/>
  <c r="BB16" i="5"/>
  <c r="BB15" i="5"/>
  <c r="BB14" i="5"/>
  <c r="BB10" i="5"/>
  <c r="BB18" i="5" l="1"/>
  <c r="BB19" i="5"/>
  <c r="BB20" i="5"/>
  <c r="G19" i="6"/>
  <c r="G18" i="6"/>
  <c r="G16" i="6"/>
  <c r="G15" i="6"/>
  <c r="G13" i="6"/>
  <c r="G12" i="6"/>
  <c r="E28" i="6"/>
  <c r="D21" i="6"/>
  <c r="G17" i="6"/>
  <c r="G10" i="6"/>
  <c r="G14" i="6"/>
  <c r="BB21" i="5"/>
  <c r="BB11" i="5"/>
  <c r="BB12" i="5"/>
  <c r="BA24" i="5"/>
  <c r="BB24" i="5" s="1"/>
  <c r="BB22" i="5" l="1"/>
  <c r="AV106" i="3"/>
  <c r="AV10" i="3"/>
  <c r="AV34" i="3"/>
  <c r="AV98" i="3"/>
  <c r="AV82" i="3"/>
  <c r="AV74" i="3"/>
  <c r="AV18" i="3"/>
  <c r="AV90" i="3"/>
  <c r="AV66" i="3"/>
  <c r="AV58" i="3"/>
  <c r="AV50" i="3"/>
  <c r="AV42" i="3"/>
  <c r="AV26" i="3"/>
  <c r="D28" i="6"/>
  <c r="F21" i="6"/>
  <c r="F28" i="6" s="1"/>
  <c r="G21" i="6"/>
  <c r="G28" i="6" s="1"/>
  <c r="Q18" i="2"/>
  <c r="BG7" i="5"/>
  <c r="AO9" i="5"/>
  <c r="AL9" i="5"/>
  <c r="AI9" i="5"/>
  <c r="AF9" i="5"/>
  <c r="AC9" i="5"/>
  <c r="Z9" i="5"/>
  <c r="W9" i="5"/>
  <c r="T9" i="5"/>
  <c r="Q9" i="5"/>
  <c r="N9" i="5"/>
  <c r="K9" i="5"/>
  <c r="H9" i="5"/>
  <c r="E9" i="5"/>
  <c r="AO8" i="5"/>
  <c r="AL8" i="5"/>
  <c r="AI8" i="5"/>
  <c r="AF8" i="5"/>
  <c r="AC8" i="5"/>
  <c r="Z8" i="5"/>
  <c r="W8" i="5"/>
  <c r="T8" i="5"/>
  <c r="Q8" i="5"/>
  <c r="N8" i="5"/>
  <c r="K8" i="5"/>
  <c r="H8" i="5"/>
  <c r="E8" i="5"/>
  <c r="AR11" i="5"/>
  <c r="AO12" i="5"/>
  <c r="AO11" i="5"/>
  <c r="AL12" i="5"/>
  <c r="AL11" i="5"/>
  <c r="AI12" i="5"/>
  <c r="AI11" i="5"/>
  <c r="AF12" i="5"/>
  <c r="AF11" i="5"/>
  <c r="AC12" i="5"/>
  <c r="AC11" i="5"/>
  <c r="Z12" i="5"/>
  <c r="Z11" i="5"/>
  <c r="W12" i="5"/>
  <c r="W11" i="5"/>
  <c r="T12" i="5"/>
  <c r="T11" i="5"/>
  <c r="Q12" i="5"/>
  <c r="Q11" i="5"/>
  <c r="N12" i="5"/>
  <c r="N11" i="5"/>
  <c r="K12" i="5"/>
  <c r="K11" i="5"/>
  <c r="H12" i="5"/>
  <c r="H11" i="5"/>
  <c r="E11" i="5"/>
  <c r="C7" i="5"/>
  <c r="AV14" i="5"/>
  <c r="AU13" i="5"/>
  <c r="AU12" i="5"/>
  <c r="AU11" i="5"/>
  <c r="AU9" i="5"/>
  <c r="I9" i="5"/>
  <c r="L9" i="5" s="1"/>
  <c r="O9" i="5" s="1"/>
  <c r="R9" i="5" s="1"/>
  <c r="U9" i="5" s="1"/>
  <c r="X9" i="5" s="1"/>
  <c r="AA9" i="5" s="1"/>
  <c r="AD9" i="5" s="1"/>
  <c r="AG9" i="5" s="1"/>
  <c r="AJ9" i="5" s="1"/>
  <c r="AM9" i="5" s="1"/>
  <c r="AU8" i="5"/>
  <c r="I8" i="5"/>
  <c r="L8" i="5" s="1"/>
  <c r="O8" i="5" s="1"/>
  <c r="R8" i="5" s="1"/>
  <c r="U8" i="5" s="1"/>
  <c r="X8" i="5" s="1"/>
  <c r="AA8" i="5" s="1"/>
  <c r="AD8" i="5" s="1"/>
  <c r="AG8" i="5" s="1"/>
  <c r="AJ8" i="5" s="1"/>
  <c r="AM8" i="5" s="1"/>
  <c r="AV7" i="5"/>
  <c r="BG6" i="5"/>
  <c r="BE6" i="5"/>
  <c r="H6" i="5"/>
  <c r="K6" i="5" s="1"/>
  <c r="N6" i="5" s="1"/>
  <c r="Q6" i="5" s="1"/>
  <c r="T6" i="5" s="1"/>
  <c r="W6" i="5" s="1"/>
  <c r="Z6" i="5" s="1"/>
  <c r="AC6" i="5" s="1"/>
  <c r="AF6" i="5" s="1"/>
  <c r="AI6" i="5" s="1"/>
  <c r="AL6" i="5" s="1"/>
  <c r="BL4" i="5"/>
  <c r="BL6" i="5" s="1"/>
  <c r="BJ4" i="5"/>
  <c r="BJ6" i="5" s="1"/>
  <c r="BG4" i="5"/>
  <c r="BE4" i="5"/>
  <c r="AJ106" i="3"/>
  <c r="X106" i="3"/>
  <c r="AJ98" i="3"/>
  <c r="X98" i="3"/>
  <c r="AJ90" i="3"/>
  <c r="X90" i="3"/>
  <c r="AJ82" i="3"/>
  <c r="X82" i="3"/>
  <c r="AJ74" i="3"/>
  <c r="X74" i="3"/>
  <c r="AJ66" i="3"/>
  <c r="X66" i="3"/>
  <c r="AJ58" i="3"/>
  <c r="X58" i="3"/>
  <c r="AJ50" i="3"/>
  <c r="X50" i="3"/>
  <c r="AJ42" i="3"/>
  <c r="X42" i="3"/>
  <c r="AJ34" i="3"/>
  <c r="X34" i="3"/>
  <c r="AJ26" i="3"/>
  <c r="X26" i="3"/>
  <c r="AJ18" i="3"/>
  <c r="X18" i="3"/>
  <c r="AJ10" i="3"/>
  <c r="X10" i="3"/>
  <c r="AH106" i="3"/>
  <c r="V106" i="3"/>
  <c r="AH98" i="3"/>
  <c r="V98" i="3"/>
  <c r="AH90" i="3"/>
  <c r="V90" i="3"/>
  <c r="AH82" i="3"/>
  <c r="V82" i="3"/>
  <c r="AH74" i="3"/>
  <c r="V74" i="3"/>
  <c r="AH66" i="3"/>
  <c r="V66" i="3"/>
  <c r="AH58" i="3"/>
  <c r="V58" i="3"/>
  <c r="AH50" i="3"/>
  <c r="V50" i="3"/>
  <c r="AH42" i="3"/>
  <c r="V42" i="3"/>
  <c r="AH34" i="3"/>
  <c r="V34" i="3"/>
  <c r="AH26" i="3"/>
  <c r="V26" i="3"/>
  <c r="AH18" i="3"/>
  <c r="V18" i="3"/>
  <c r="V10" i="3"/>
  <c r="M600" i="4"/>
  <c r="M557" i="4"/>
  <c r="M514" i="4"/>
  <c r="M471" i="4"/>
  <c r="M428" i="4"/>
  <c r="M385" i="4"/>
  <c r="M342" i="4"/>
  <c r="M299" i="4"/>
  <c r="M256" i="4"/>
  <c r="M213" i="4"/>
  <c r="M170" i="4"/>
  <c r="M127" i="4"/>
  <c r="M84" i="4"/>
  <c r="M41" i="4"/>
  <c r="G9" i="4"/>
  <c r="H9" i="4"/>
  <c r="I9" i="4"/>
  <c r="J9" i="4"/>
  <c r="G10" i="4"/>
  <c r="H10" i="4"/>
  <c r="G11" i="4"/>
  <c r="H11" i="4"/>
  <c r="I11" i="4"/>
  <c r="I18" i="4" s="1"/>
  <c r="I19" i="4" s="1"/>
  <c r="G12" i="4"/>
  <c r="H12" i="4"/>
  <c r="I12" i="4"/>
  <c r="J12" i="4"/>
  <c r="G13" i="4"/>
  <c r="H13" i="4"/>
  <c r="G14" i="4"/>
  <c r="H14" i="4"/>
  <c r="G15" i="4"/>
  <c r="H15" i="4"/>
  <c r="G16" i="4"/>
  <c r="H16" i="4"/>
  <c r="G17" i="4"/>
  <c r="H17" i="4"/>
  <c r="G18" i="4"/>
  <c r="H18" i="4"/>
  <c r="G19" i="4"/>
  <c r="H19" i="4"/>
  <c r="J19" i="4"/>
  <c r="G20" i="4"/>
  <c r="H20" i="4"/>
  <c r="I20" i="4"/>
  <c r="E21" i="4"/>
  <c r="G21" i="4" s="1"/>
  <c r="F21" i="4"/>
  <c r="E24" i="4"/>
  <c r="G24" i="4" s="1"/>
  <c r="F24" i="4"/>
  <c r="H24" i="4" s="1"/>
  <c r="J24" i="4"/>
  <c r="E25" i="4"/>
  <c r="F25" i="4"/>
  <c r="G25" i="4"/>
  <c r="H25" i="4"/>
  <c r="E26" i="4"/>
  <c r="F26" i="4"/>
  <c r="E27" i="4"/>
  <c r="G27" i="4" s="1"/>
  <c r="F27" i="4"/>
  <c r="H27" i="4" s="1"/>
  <c r="J27" i="4"/>
  <c r="E28" i="4"/>
  <c r="F28" i="4"/>
  <c r="E29" i="4"/>
  <c r="E72" i="4" s="1"/>
  <c r="F29" i="4"/>
  <c r="F72" i="4" s="1"/>
  <c r="E30" i="4"/>
  <c r="F30" i="4"/>
  <c r="E31" i="4"/>
  <c r="F31" i="4"/>
  <c r="E32" i="4"/>
  <c r="F32" i="4"/>
  <c r="G32" i="4"/>
  <c r="H32" i="4"/>
  <c r="E33" i="4"/>
  <c r="E76" i="4" s="1"/>
  <c r="F33" i="4"/>
  <c r="F76" i="4" s="1"/>
  <c r="G76" i="4" s="1"/>
  <c r="E34" i="4"/>
  <c r="F34" i="4"/>
  <c r="J34" i="4"/>
  <c r="E35" i="4"/>
  <c r="F35" i="4"/>
  <c r="G35" i="4"/>
  <c r="H35" i="4"/>
  <c r="I35" i="4"/>
  <c r="L36" i="4"/>
  <c r="AH10" i="3" s="1"/>
  <c r="E47" i="4"/>
  <c r="E90" i="4" s="1"/>
  <c r="F47" i="4"/>
  <c r="F90" i="4" s="1"/>
  <c r="G47" i="4"/>
  <c r="H47" i="4"/>
  <c r="D51" i="4"/>
  <c r="B52" i="4"/>
  <c r="C52" i="4"/>
  <c r="D52" i="4"/>
  <c r="E52" i="4"/>
  <c r="F52" i="4"/>
  <c r="G52" i="4" s="1"/>
  <c r="B53" i="4"/>
  <c r="B96" i="4" s="1"/>
  <c r="B139" i="4" s="1"/>
  <c r="C53" i="4"/>
  <c r="C96" i="4" s="1"/>
  <c r="C139" i="4" s="1"/>
  <c r="D53" i="4"/>
  <c r="E53" i="4"/>
  <c r="F53" i="4"/>
  <c r="G53" i="4" s="1"/>
  <c r="B54" i="4"/>
  <c r="C54" i="4"/>
  <c r="C97" i="4" s="1"/>
  <c r="D54" i="4"/>
  <c r="D97" i="4" s="1"/>
  <c r="E54" i="4"/>
  <c r="E97" i="4" s="1"/>
  <c r="F54" i="4"/>
  <c r="F97" i="4" s="1"/>
  <c r="H97" i="4" s="1"/>
  <c r="B55" i="4"/>
  <c r="C55" i="4"/>
  <c r="D55" i="4"/>
  <c r="E55" i="4"/>
  <c r="F55" i="4"/>
  <c r="G55" i="4"/>
  <c r="H55" i="4"/>
  <c r="B56" i="4"/>
  <c r="B99" i="4" s="1"/>
  <c r="C56" i="4"/>
  <c r="C99" i="4" s="1"/>
  <c r="C142" i="4" s="1"/>
  <c r="C185" i="4" s="1"/>
  <c r="C228" i="4" s="1"/>
  <c r="C271" i="4" s="1"/>
  <c r="C314" i="4" s="1"/>
  <c r="C357" i="4" s="1"/>
  <c r="C400" i="4" s="1"/>
  <c r="D56" i="4"/>
  <c r="D99" i="4" s="1"/>
  <c r="D142" i="4" s="1"/>
  <c r="D185" i="4" s="1"/>
  <c r="D228" i="4" s="1"/>
  <c r="D271" i="4" s="1"/>
  <c r="D314" i="4" s="1"/>
  <c r="D357" i="4" s="1"/>
  <c r="D400" i="4" s="1"/>
  <c r="D443" i="4" s="1"/>
  <c r="D486" i="4" s="1"/>
  <c r="E56" i="4"/>
  <c r="F56" i="4"/>
  <c r="B57" i="4"/>
  <c r="B100" i="4" s="1"/>
  <c r="B143" i="4" s="1"/>
  <c r="B186" i="4" s="1"/>
  <c r="B229" i="4" s="1"/>
  <c r="B272" i="4" s="1"/>
  <c r="B315" i="4" s="1"/>
  <c r="B358" i="4" s="1"/>
  <c r="B401" i="4" s="1"/>
  <c r="B444" i="4" s="1"/>
  <c r="B487" i="4" s="1"/>
  <c r="C57" i="4"/>
  <c r="C100" i="4" s="1"/>
  <c r="C143" i="4" s="1"/>
  <c r="C186" i="4" s="1"/>
  <c r="C229" i="4" s="1"/>
  <c r="C272" i="4" s="1"/>
  <c r="C315" i="4" s="1"/>
  <c r="C358" i="4" s="1"/>
  <c r="C401" i="4" s="1"/>
  <c r="C444" i="4" s="1"/>
  <c r="C487" i="4" s="1"/>
  <c r="D57" i="4"/>
  <c r="E57" i="4"/>
  <c r="F57" i="4"/>
  <c r="F100" i="4" s="1"/>
  <c r="G57" i="4"/>
  <c r="H57" i="4"/>
  <c r="B58" i="4"/>
  <c r="B101" i="4" s="1"/>
  <c r="B144" i="4" s="1"/>
  <c r="C58" i="4"/>
  <c r="C101" i="4" s="1"/>
  <c r="C144" i="4" s="1"/>
  <c r="D58" i="4"/>
  <c r="D101" i="4" s="1"/>
  <c r="D144" i="4" s="1"/>
  <c r="D187" i="4" s="1"/>
  <c r="D230" i="4" s="1"/>
  <c r="D273" i="4" s="1"/>
  <c r="D316" i="4" s="1"/>
  <c r="D359" i="4" s="1"/>
  <c r="D402" i="4" s="1"/>
  <c r="D445" i="4" s="1"/>
  <c r="D488" i="4" s="1"/>
  <c r="E58" i="4"/>
  <c r="F58" i="4"/>
  <c r="G58" i="4"/>
  <c r="H58" i="4"/>
  <c r="B59" i="4"/>
  <c r="C59" i="4"/>
  <c r="D59" i="4"/>
  <c r="D102" i="4" s="1"/>
  <c r="E59" i="4"/>
  <c r="F59" i="4"/>
  <c r="B60" i="4"/>
  <c r="B103" i="4" s="1"/>
  <c r="B146" i="4" s="1"/>
  <c r="C60" i="4"/>
  <c r="C103" i="4" s="1"/>
  <c r="C146" i="4" s="1"/>
  <c r="C189" i="4" s="1"/>
  <c r="C232" i="4" s="1"/>
  <c r="C275" i="4" s="1"/>
  <c r="C318" i="4" s="1"/>
  <c r="C361" i="4" s="1"/>
  <c r="C404" i="4" s="1"/>
  <c r="C447" i="4" s="1"/>
  <c r="C490" i="4" s="1"/>
  <c r="D60" i="4"/>
  <c r="D103" i="4" s="1"/>
  <c r="D146" i="4" s="1"/>
  <c r="D189" i="4" s="1"/>
  <c r="D232" i="4" s="1"/>
  <c r="D275" i="4" s="1"/>
  <c r="D318" i="4" s="1"/>
  <c r="D361" i="4" s="1"/>
  <c r="D404" i="4" s="1"/>
  <c r="D447" i="4" s="1"/>
  <c r="D490" i="4" s="1"/>
  <c r="D532" i="4" s="1"/>
  <c r="E60" i="4"/>
  <c r="G60" i="4" s="1"/>
  <c r="F60" i="4"/>
  <c r="F103" i="4" s="1"/>
  <c r="H60" i="4"/>
  <c r="B61" i="4"/>
  <c r="B104" i="4" s="1"/>
  <c r="C61" i="4"/>
  <c r="C104" i="4" s="1"/>
  <c r="D61" i="4"/>
  <c r="D104" i="4" s="1"/>
  <c r="D147" i="4" s="1"/>
  <c r="E61" i="4"/>
  <c r="F61" i="4"/>
  <c r="B62" i="4"/>
  <c r="C62" i="4"/>
  <c r="D62" i="4"/>
  <c r="E62" i="4"/>
  <c r="G62" i="4" s="1"/>
  <c r="F62" i="4"/>
  <c r="B63" i="4"/>
  <c r="B106" i="4" s="1"/>
  <c r="B149" i="4" s="1"/>
  <c r="B192" i="4" s="1"/>
  <c r="B235" i="4" s="1"/>
  <c r="C63" i="4"/>
  <c r="C106" i="4" s="1"/>
  <c r="C149" i="4" s="1"/>
  <c r="D63" i="4"/>
  <c r="D106" i="4" s="1"/>
  <c r="D149" i="4" s="1"/>
  <c r="E63" i="4"/>
  <c r="F63" i="4"/>
  <c r="D64" i="4"/>
  <c r="D66" i="4"/>
  <c r="D109" i="4" s="1"/>
  <c r="D152" i="4" s="1"/>
  <c r="D195" i="4" s="1"/>
  <c r="D238" i="4" s="1"/>
  <c r="D281" i="4" s="1"/>
  <c r="D324" i="4" s="1"/>
  <c r="B67" i="4"/>
  <c r="B110" i="4" s="1"/>
  <c r="B153" i="4" s="1"/>
  <c r="B196" i="4" s="1"/>
  <c r="B239" i="4" s="1"/>
  <c r="B282" i="4" s="1"/>
  <c r="B325" i="4" s="1"/>
  <c r="B368" i="4" s="1"/>
  <c r="B411" i="4" s="1"/>
  <c r="B454" i="4" s="1"/>
  <c r="B497" i="4" s="1"/>
  <c r="C67" i="4"/>
  <c r="C110" i="4" s="1"/>
  <c r="C153" i="4" s="1"/>
  <c r="C196" i="4" s="1"/>
  <c r="C239" i="4" s="1"/>
  <c r="C282" i="4" s="1"/>
  <c r="C325" i="4" s="1"/>
  <c r="D67" i="4"/>
  <c r="D110" i="4" s="1"/>
  <c r="D153" i="4" s="1"/>
  <c r="D196" i="4" s="1"/>
  <c r="D239" i="4" s="1"/>
  <c r="D282" i="4" s="1"/>
  <c r="D325" i="4" s="1"/>
  <c r="D368" i="4" s="1"/>
  <c r="D411" i="4" s="1"/>
  <c r="D454" i="4" s="1"/>
  <c r="D497" i="4" s="1"/>
  <c r="E67" i="4"/>
  <c r="E110" i="4" s="1"/>
  <c r="F67" i="4"/>
  <c r="H67" i="4" s="1"/>
  <c r="B68" i="4"/>
  <c r="C68" i="4"/>
  <c r="C111" i="4" s="1"/>
  <c r="C154" i="4" s="1"/>
  <c r="C197" i="4" s="1"/>
  <c r="D68" i="4"/>
  <c r="D111" i="4" s="1"/>
  <c r="D154" i="4" s="1"/>
  <c r="E68" i="4"/>
  <c r="E111" i="4" s="1"/>
  <c r="F68" i="4"/>
  <c r="F111" i="4" s="1"/>
  <c r="H111" i="4" s="1"/>
  <c r="G68" i="4"/>
  <c r="H68" i="4"/>
  <c r="B69" i="4"/>
  <c r="C69" i="4"/>
  <c r="D69" i="4"/>
  <c r="F69" i="4"/>
  <c r="B70" i="4"/>
  <c r="B113" i="4" s="1"/>
  <c r="C70" i="4"/>
  <c r="C113" i="4" s="1"/>
  <c r="D70" i="4"/>
  <c r="D113" i="4" s="1"/>
  <c r="D156" i="4" s="1"/>
  <c r="B71" i="4"/>
  <c r="C71" i="4"/>
  <c r="D71" i="4"/>
  <c r="D114" i="4" s="1"/>
  <c r="D157" i="4" s="1"/>
  <c r="D200" i="4" s="1"/>
  <c r="D243" i="4" s="1"/>
  <c r="D286" i="4" s="1"/>
  <c r="D329" i="4" s="1"/>
  <c r="D372" i="4" s="1"/>
  <c r="D415" i="4" s="1"/>
  <c r="D458" i="4" s="1"/>
  <c r="D501" i="4" s="1"/>
  <c r="F71" i="4"/>
  <c r="B72" i="4"/>
  <c r="B115" i="4" s="1"/>
  <c r="B158" i="4" s="1"/>
  <c r="B201" i="4" s="1"/>
  <c r="B244" i="4" s="1"/>
  <c r="B287" i="4" s="1"/>
  <c r="B330" i="4" s="1"/>
  <c r="B373" i="4" s="1"/>
  <c r="B416" i="4" s="1"/>
  <c r="B459" i="4" s="1"/>
  <c r="B502" i="4" s="1"/>
  <c r="C72" i="4"/>
  <c r="C115" i="4" s="1"/>
  <c r="C158" i="4" s="1"/>
  <c r="C201" i="4" s="1"/>
  <c r="C244" i="4" s="1"/>
  <c r="C287" i="4" s="1"/>
  <c r="C330" i="4" s="1"/>
  <c r="C373" i="4" s="1"/>
  <c r="C416" i="4" s="1"/>
  <c r="C459" i="4" s="1"/>
  <c r="C502" i="4" s="1"/>
  <c r="D72" i="4"/>
  <c r="D115" i="4" s="1"/>
  <c r="D158" i="4" s="1"/>
  <c r="B73" i="4"/>
  <c r="C73" i="4"/>
  <c r="D73" i="4"/>
  <c r="D116" i="4" s="1"/>
  <c r="D159" i="4" s="1"/>
  <c r="D202" i="4" s="1"/>
  <c r="D245" i="4" s="1"/>
  <c r="D288" i="4" s="1"/>
  <c r="D331" i="4" s="1"/>
  <c r="D374" i="4" s="1"/>
  <c r="B74" i="4"/>
  <c r="B117" i="4" s="1"/>
  <c r="B160" i="4" s="1"/>
  <c r="B203" i="4" s="1"/>
  <c r="B246" i="4" s="1"/>
  <c r="C74" i="4"/>
  <c r="D74" i="4"/>
  <c r="D117" i="4" s="1"/>
  <c r="D160" i="4" s="1"/>
  <c r="D203" i="4" s="1"/>
  <c r="D246" i="4" s="1"/>
  <c r="D289" i="4" s="1"/>
  <c r="D332" i="4" s="1"/>
  <c r="D375" i="4" s="1"/>
  <c r="D418" i="4" s="1"/>
  <c r="D461" i="4" s="1"/>
  <c r="D504" i="4" s="1"/>
  <c r="B75" i="4"/>
  <c r="B118" i="4" s="1"/>
  <c r="C75" i="4"/>
  <c r="C118" i="4" s="1"/>
  <c r="C161" i="4" s="1"/>
  <c r="C204" i="4" s="1"/>
  <c r="C247" i="4" s="1"/>
  <c r="C290" i="4" s="1"/>
  <c r="C333" i="4" s="1"/>
  <c r="C376" i="4" s="1"/>
  <c r="C419" i="4" s="1"/>
  <c r="C462" i="4" s="1"/>
  <c r="C505" i="4" s="1"/>
  <c r="D75" i="4"/>
  <c r="D118" i="4" s="1"/>
  <c r="E75" i="4"/>
  <c r="E118" i="4" s="1"/>
  <c r="F75" i="4"/>
  <c r="G75" i="4" s="1"/>
  <c r="B76" i="4"/>
  <c r="C76" i="4"/>
  <c r="D76" i="4"/>
  <c r="B77" i="4"/>
  <c r="B120" i="4" s="1"/>
  <c r="C77" i="4"/>
  <c r="C120" i="4" s="1"/>
  <c r="D77" i="4"/>
  <c r="D120" i="4" s="1"/>
  <c r="D163" i="4" s="1"/>
  <c r="E77" i="4"/>
  <c r="F77" i="4"/>
  <c r="F120" i="4" s="1"/>
  <c r="F163" i="4" s="1"/>
  <c r="F206" i="4" s="1"/>
  <c r="F249" i="4" s="1"/>
  <c r="F292" i="4" s="1"/>
  <c r="B78" i="4"/>
  <c r="C78" i="4"/>
  <c r="D78" i="4"/>
  <c r="D121" i="4" s="1"/>
  <c r="D164" i="4" s="1"/>
  <c r="D207" i="4" s="1"/>
  <c r="D250" i="4" s="1"/>
  <c r="D293" i="4" s="1"/>
  <c r="D336" i="4" s="1"/>
  <c r="D379" i="4" s="1"/>
  <c r="D422" i="4" s="1"/>
  <c r="D465" i="4" s="1"/>
  <c r="D508" i="4" s="1"/>
  <c r="E78" i="4"/>
  <c r="F78" i="4"/>
  <c r="D79" i="4"/>
  <c r="D122" i="4" s="1"/>
  <c r="D165" i="4" s="1"/>
  <c r="E82" i="4"/>
  <c r="F82" i="4"/>
  <c r="G82" i="4"/>
  <c r="G125" i="4" s="1"/>
  <c r="G168" i="4" s="1"/>
  <c r="G211" i="4" s="1"/>
  <c r="G254" i="4" s="1"/>
  <c r="G297" i="4" s="1"/>
  <c r="H82" i="4"/>
  <c r="H125" i="4" s="1"/>
  <c r="H168" i="4" s="1"/>
  <c r="H211" i="4" s="1"/>
  <c r="H254" i="4" s="1"/>
  <c r="H297" i="4" s="1"/>
  <c r="H340" i="4" s="1"/>
  <c r="H383" i="4" s="1"/>
  <c r="H426" i="4" s="1"/>
  <c r="H469" i="4" s="1"/>
  <c r="H512" i="4" s="1"/>
  <c r="D83" i="4"/>
  <c r="D126" i="4" s="1"/>
  <c r="D169" i="4" s="1"/>
  <c r="D212" i="4" s="1"/>
  <c r="D255" i="4" s="1"/>
  <c r="D298" i="4" s="1"/>
  <c r="D341" i="4" s="1"/>
  <c r="D384" i="4" s="1"/>
  <c r="D427" i="4" s="1"/>
  <c r="D470" i="4" s="1"/>
  <c r="D513" i="4" s="1"/>
  <c r="D84" i="4"/>
  <c r="D127" i="4" s="1"/>
  <c r="D170" i="4" s="1"/>
  <c r="D213" i="4" s="1"/>
  <c r="D256" i="4" s="1"/>
  <c r="D299" i="4" s="1"/>
  <c r="D342" i="4" s="1"/>
  <c r="D385" i="4" s="1"/>
  <c r="D428" i="4" s="1"/>
  <c r="D471" i="4" s="1"/>
  <c r="D514" i="4" s="1"/>
  <c r="G90" i="4"/>
  <c r="G133" i="4" s="1"/>
  <c r="H90" i="4"/>
  <c r="H133" i="4" s="1"/>
  <c r="H176" i="4" s="1"/>
  <c r="D94" i="4"/>
  <c r="D137" i="4" s="1"/>
  <c r="D180" i="4" s="1"/>
  <c r="B95" i="4"/>
  <c r="B138" i="4" s="1"/>
  <c r="B181" i="4" s="1"/>
  <c r="C95" i="4"/>
  <c r="C138" i="4" s="1"/>
  <c r="C181" i="4" s="1"/>
  <c r="D95" i="4"/>
  <c r="D138" i="4" s="1"/>
  <c r="D181" i="4" s="1"/>
  <c r="D96" i="4"/>
  <c r="D139" i="4" s="1"/>
  <c r="D182" i="4" s="1"/>
  <c r="D225" i="4" s="1"/>
  <c r="D268" i="4" s="1"/>
  <c r="D311" i="4" s="1"/>
  <c r="D354" i="4" s="1"/>
  <c r="D397" i="4" s="1"/>
  <c r="D440" i="4" s="1"/>
  <c r="D483" i="4" s="1"/>
  <c r="D525" i="4" s="1"/>
  <c r="E96" i="4"/>
  <c r="E139" i="4" s="1"/>
  <c r="F96" i="4"/>
  <c r="F139" i="4" s="1"/>
  <c r="B97" i="4"/>
  <c r="B140" i="4" s="1"/>
  <c r="B183" i="4" s="1"/>
  <c r="B226" i="4" s="1"/>
  <c r="B269" i="4" s="1"/>
  <c r="B312" i="4" s="1"/>
  <c r="B355" i="4" s="1"/>
  <c r="B398" i="4" s="1"/>
  <c r="B441" i="4" s="1"/>
  <c r="B484" i="4" s="1"/>
  <c r="B98" i="4"/>
  <c r="B141" i="4" s="1"/>
  <c r="C98" i="4"/>
  <c r="C141" i="4" s="1"/>
  <c r="C184" i="4" s="1"/>
  <c r="D98" i="4"/>
  <c r="D141" i="4" s="1"/>
  <c r="D184" i="4" s="1"/>
  <c r="E98" i="4"/>
  <c r="E141" i="4" s="1"/>
  <c r="E184" i="4" s="1"/>
  <c r="F98" i="4"/>
  <c r="D100" i="4"/>
  <c r="E100" i="4"/>
  <c r="G100" i="4" s="1"/>
  <c r="E101" i="4"/>
  <c r="E144" i="4" s="1"/>
  <c r="F101" i="4"/>
  <c r="F144" i="4" s="1"/>
  <c r="F187" i="4" s="1"/>
  <c r="F230" i="4" s="1"/>
  <c r="F273" i="4" s="1"/>
  <c r="F316" i="4" s="1"/>
  <c r="B102" i="4"/>
  <c r="B145" i="4" s="1"/>
  <c r="B188" i="4" s="1"/>
  <c r="B231" i="4" s="1"/>
  <c r="B274" i="4" s="1"/>
  <c r="B317" i="4" s="1"/>
  <c r="B360" i="4" s="1"/>
  <c r="B403" i="4" s="1"/>
  <c r="B446" i="4" s="1"/>
  <c r="B489" i="4" s="1"/>
  <c r="C102" i="4"/>
  <c r="C145" i="4" s="1"/>
  <c r="C188" i="4" s="1"/>
  <c r="C231" i="4" s="1"/>
  <c r="B105" i="4"/>
  <c r="C105" i="4"/>
  <c r="D105" i="4"/>
  <c r="E105" i="4"/>
  <c r="E148" i="4" s="1"/>
  <c r="F105" i="4"/>
  <c r="F106" i="4"/>
  <c r="F149" i="4" s="1"/>
  <c r="D107" i="4"/>
  <c r="D150" i="4" s="1"/>
  <c r="D193" i="4" s="1"/>
  <c r="D236" i="4" s="1"/>
  <c r="D279" i="4" s="1"/>
  <c r="D322" i="4" s="1"/>
  <c r="D365" i="4" s="1"/>
  <c r="D408" i="4" s="1"/>
  <c r="D451" i="4" s="1"/>
  <c r="D494" i="4" s="1"/>
  <c r="B111" i="4"/>
  <c r="B154" i="4" s="1"/>
  <c r="B197" i="4" s="1"/>
  <c r="B112" i="4"/>
  <c r="B155" i="4" s="1"/>
  <c r="B198" i="4" s="1"/>
  <c r="B241" i="4" s="1"/>
  <c r="B284" i="4" s="1"/>
  <c r="B327" i="4" s="1"/>
  <c r="B370" i="4" s="1"/>
  <c r="B413" i="4" s="1"/>
  <c r="B456" i="4" s="1"/>
  <c r="B499" i="4" s="1"/>
  <c r="C112" i="4"/>
  <c r="C155" i="4" s="1"/>
  <c r="C198" i="4" s="1"/>
  <c r="C241" i="4" s="1"/>
  <c r="C284" i="4" s="1"/>
  <c r="C327" i="4" s="1"/>
  <c r="C370" i="4" s="1"/>
  <c r="C413" i="4" s="1"/>
  <c r="C456" i="4" s="1"/>
  <c r="C499" i="4" s="1"/>
  <c r="D112" i="4"/>
  <c r="D155" i="4" s="1"/>
  <c r="D198" i="4" s="1"/>
  <c r="D241" i="4" s="1"/>
  <c r="D284" i="4" s="1"/>
  <c r="D327" i="4" s="1"/>
  <c r="D370" i="4" s="1"/>
  <c r="D413" i="4" s="1"/>
  <c r="D456" i="4" s="1"/>
  <c r="D499" i="4" s="1"/>
  <c r="F112" i="4"/>
  <c r="B114" i="4"/>
  <c r="B157" i="4" s="1"/>
  <c r="B200" i="4" s="1"/>
  <c r="B243" i="4" s="1"/>
  <c r="B286" i="4" s="1"/>
  <c r="C114" i="4"/>
  <c r="C157" i="4" s="1"/>
  <c r="C200" i="4" s="1"/>
  <c r="E115" i="4"/>
  <c r="E158" i="4" s="1"/>
  <c r="B116" i="4"/>
  <c r="B159" i="4" s="1"/>
  <c r="B202" i="4" s="1"/>
  <c r="B245" i="4" s="1"/>
  <c r="B288" i="4" s="1"/>
  <c r="B331" i="4" s="1"/>
  <c r="C116" i="4"/>
  <c r="C117" i="4"/>
  <c r="C160" i="4" s="1"/>
  <c r="B119" i="4"/>
  <c r="B162" i="4" s="1"/>
  <c r="B205" i="4" s="1"/>
  <c r="C119" i="4"/>
  <c r="C162" i="4" s="1"/>
  <c r="C205" i="4" s="1"/>
  <c r="C248" i="4" s="1"/>
  <c r="C291" i="4" s="1"/>
  <c r="D119" i="4"/>
  <c r="D162" i="4" s="1"/>
  <c r="D205" i="4" s="1"/>
  <c r="D248" i="4" s="1"/>
  <c r="D291" i="4" s="1"/>
  <c r="D334" i="4" s="1"/>
  <c r="D377" i="4" s="1"/>
  <c r="D420" i="4" s="1"/>
  <c r="D463" i="4" s="1"/>
  <c r="D506" i="4" s="1"/>
  <c r="E119" i="4"/>
  <c r="B121" i="4"/>
  <c r="B164" i="4" s="1"/>
  <c r="B207" i="4" s="1"/>
  <c r="B250" i="4" s="1"/>
  <c r="B293" i="4" s="1"/>
  <c r="B336" i="4" s="1"/>
  <c r="B379" i="4" s="1"/>
  <c r="C121" i="4"/>
  <c r="E125" i="4"/>
  <c r="E168" i="4" s="1"/>
  <c r="E211" i="4" s="1"/>
  <c r="F125" i="4"/>
  <c r="E133" i="4"/>
  <c r="E176" i="4" s="1"/>
  <c r="E219" i="4" s="1"/>
  <c r="E262" i="4" s="1"/>
  <c r="E305" i="4" s="1"/>
  <c r="E348" i="4" s="1"/>
  <c r="E391" i="4" s="1"/>
  <c r="E434" i="4" s="1"/>
  <c r="E477" i="4" s="1"/>
  <c r="E520" i="4" s="1"/>
  <c r="F133" i="4"/>
  <c r="F176" i="4" s="1"/>
  <c r="F219" i="4" s="1"/>
  <c r="F262" i="4" s="1"/>
  <c r="F305" i="4" s="1"/>
  <c r="F348" i="4" s="1"/>
  <c r="F391" i="4" s="1"/>
  <c r="F434" i="4" s="1"/>
  <c r="F477" i="4" s="1"/>
  <c r="I138" i="4"/>
  <c r="I140" i="4" s="1"/>
  <c r="I147" i="4" s="1"/>
  <c r="I148" i="4" s="1"/>
  <c r="J138" i="4"/>
  <c r="C140" i="4"/>
  <c r="C183" i="4" s="1"/>
  <c r="C226" i="4" s="1"/>
  <c r="C269" i="4" s="1"/>
  <c r="D140" i="4"/>
  <c r="D183" i="4" s="1"/>
  <c r="D226" i="4" s="1"/>
  <c r="D269" i="4" s="1"/>
  <c r="E140" i="4"/>
  <c r="F141" i="4"/>
  <c r="F184" i="4" s="1"/>
  <c r="J141" i="4"/>
  <c r="B142" i="4"/>
  <c r="D143" i="4"/>
  <c r="D186" i="4" s="1"/>
  <c r="D229" i="4" s="1"/>
  <c r="D272" i="4" s="1"/>
  <c r="D315" i="4" s="1"/>
  <c r="D358" i="4" s="1"/>
  <c r="D401" i="4" s="1"/>
  <c r="F143" i="4"/>
  <c r="D145" i="4"/>
  <c r="D188" i="4" s="1"/>
  <c r="B147" i="4"/>
  <c r="B190" i="4" s="1"/>
  <c r="B233" i="4" s="1"/>
  <c r="B276" i="4" s="1"/>
  <c r="B319" i="4" s="1"/>
  <c r="B362" i="4" s="1"/>
  <c r="B405" i="4" s="1"/>
  <c r="B448" i="4" s="1"/>
  <c r="B491" i="4" s="1"/>
  <c r="C147" i="4"/>
  <c r="C190" i="4" s="1"/>
  <c r="C233" i="4" s="1"/>
  <c r="C276" i="4" s="1"/>
  <c r="C319" i="4" s="1"/>
  <c r="C362" i="4" s="1"/>
  <c r="C405" i="4" s="1"/>
  <c r="B148" i="4"/>
  <c r="B191" i="4" s="1"/>
  <c r="C148" i="4"/>
  <c r="C191" i="4" s="1"/>
  <c r="C234" i="4" s="1"/>
  <c r="C277" i="4" s="1"/>
  <c r="C320" i="4" s="1"/>
  <c r="C363" i="4" s="1"/>
  <c r="C406" i="4" s="1"/>
  <c r="C449" i="4" s="1"/>
  <c r="C492" i="4" s="1"/>
  <c r="D148" i="4"/>
  <c r="D191" i="4" s="1"/>
  <c r="D234" i="4" s="1"/>
  <c r="D277" i="4" s="1"/>
  <c r="D320" i="4" s="1"/>
  <c r="D363" i="4" s="1"/>
  <c r="D406" i="4" s="1"/>
  <c r="D449" i="4" s="1"/>
  <c r="D492" i="4" s="1"/>
  <c r="F148" i="4"/>
  <c r="J148" i="4"/>
  <c r="J153" i="4"/>
  <c r="E154" i="4"/>
  <c r="E197" i="4" s="1"/>
  <c r="E240" i="4" s="1"/>
  <c r="F154" i="4"/>
  <c r="F197" i="4" s="1"/>
  <c r="B156" i="4"/>
  <c r="B199" i="4" s="1"/>
  <c r="B242" i="4" s="1"/>
  <c r="B285" i="4" s="1"/>
  <c r="B328" i="4" s="1"/>
  <c r="B371" i="4" s="1"/>
  <c r="B414" i="4" s="1"/>
  <c r="B457" i="4" s="1"/>
  <c r="B500" i="4" s="1"/>
  <c r="C156" i="4"/>
  <c r="C199" i="4" s="1"/>
  <c r="C242" i="4" s="1"/>
  <c r="C285" i="4" s="1"/>
  <c r="C328" i="4" s="1"/>
  <c r="J156" i="4"/>
  <c r="C159" i="4"/>
  <c r="C202" i="4" s="1"/>
  <c r="B161" i="4"/>
  <c r="B204" i="4" s="1"/>
  <c r="D161" i="4"/>
  <c r="D204" i="4" s="1"/>
  <c r="D247" i="4" s="1"/>
  <c r="D290" i="4" s="1"/>
  <c r="D333" i="4" s="1"/>
  <c r="D376" i="4" s="1"/>
  <c r="D419" i="4" s="1"/>
  <c r="D462" i="4" s="1"/>
  <c r="D505" i="4" s="1"/>
  <c r="E161" i="4"/>
  <c r="B163" i="4"/>
  <c r="C163" i="4"/>
  <c r="J163" i="4"/>
  <c r="C164" i="4"/>
  <c r="C207" i="4" s="1"/>
  <c r="C250" i="4" s="1"/>
  <c r="C293" i="4" s="1"/>
  <c r="C336" i="4" s="1"/>
  <c r="C379" i="4" s="1"/>
  <c r="C422" i="4" s="1"/>
  <c r="C465" i="4" s="1"/>
  <c r="C508" i="4" s="1"/>
  <c r="F168" i="4"/>
  <c r="F211" i="4" s="1"/>
  <c r="F254" i="4" s="1"/>
  <c r="F297" i="4" s="1"/>
  <c r="G176" i="4"/>
  <c r="G219" i="4" s="1"/>
  <c r="G262" i="4" s="1"/>
  <c r="G305" i="4" s="1"/>
  <c r="G348" i="4" s="1"/>
  <c r="G391" i="4" s="1"/>
  <c r="G434" i="4" s="1"/>
  <c r="G477" i="4" s="1"/>
  <c r="F181" i="4"/>
  <c r="B182" i="4"/>
  <c r="B225" i="4" s="1"/>
  <c r="B268" i="4" s="1"/>
  <c r="B311" i="4" s="1"/>
  <c r="B354" i="4" s="1"/>
  <c r="B397" i="4" s="1"/>
  <c r="B440" i="4" s="1"/>
  <c r="B483" i="4" s="1"/>
  <c r="C182" i="4"/>
  <c r="C225" i="4" s="1"/>
  <c r="C268" i="4" s="1"/>
  <c r="B184" i="4"/>
  <c r="B227" i="4" s="1"/>
  <c r="B270" i="4" s="1"/>
  <c r="B313" i="4" s="1"/>
  <c r="B185" i="4"/>
  <c r="B228" i="4" s="1"/>
  <c r="B271" i="4" s="1"/>
  <c r="B187" i="4"/>
  <c r="B230" i="4" s="1"/>
  <c r="B273" i="4" s="1"/>
  <c r="C187" i="4"/>
  <c r="C230" i="4" s="1"/>
  <c r="C273" i="4" s="1"/>
  <c r="C316" i="4" s="1"/>
  <c r="C359" i="4" s="1"/>
  <c r="C402" i="4" s="1"/>
  <c r="C445" i="4" s="1"/>
  <c r="C488" i="4" s="1"/>
  <c r="C574" i="4" s="1"/>
  <c r="E187" i="4"/>
  <c r="B189" i="4"/>
  <c r="B232" i="4" s="1"/>
  <c r="D190" i="4"/>
  <c r="D233" i="4" s="1"/>
  <c r="D276" i="4" s="1"/>
  <c r="D319" i="4" s="1"/>
  <c r="C192" i="4"/>
  <c r="C235" i="4" s="1"/>
  <c r="C278" i="4" s="1"/>
  <c r="C321" i="4" s="1"/>
  <c r="C364" i="4" s="1"/>
  <c r="C407" i="4" s="1"/>
  <c r="C450" i="4" s="1"/>
  <c r="C493" i="4" s="1"/>
  <c r="D192" i="4"/>
  <c r="D235" i="4" s="1"/>
  <c r="D278" i="4" s="1"/>
  <c r="D197" i="4"/>
  <c r="D240" i="4" s="1"/>
  <c r="D199" i="4"/>
  <c r="D242" i="4" s="1"/>
  <c r="D201" i="4"/>
  <c r="D244" i="4" s="1"/>
  <c r="D287" i="4" s="1"/>
  <c r="D330" i="4" s="1"/>
  <c r="D373" i="4" s="1"/>
  <c r="D416" i="4" s="1"/>
  <c r="D459" i="4" s="1"/>
  <c r="E201" i="4"/>
  <c r="C203" i="4"/>
  <c r="B206" i="4"/>
  <c r="B249" i="4" s="1"/>
  <c r="B292" i="4" s="1"/>
  <c r="B335" i="4" s="1"/>
  <c r="B378" i="4" s="1"/>
  <c r="B421" i="4" s="1"/>
  <c r="B464" i="4" s="1"/>
  <c r="B507" i="4" s="1"/>
  <c r="B593" i="4" s="1"/>
  <c r="C206" i="4"/>
  <c r="C249" i="4" s="1"/>
  <c r="D206" i="4"/>
  <c r="D208" i="4"/>
  <c r="D251" i="4" s="1"/>
  <c r="D294" i="4" s="1"/>
  <c r="D337" i="4" s="1"/>
  <c r="D380" i="4" s="1"/>
  <c r="D423" i="4" s="1"/>
  <c r="D466" i="4" s="1"/>
  <c r="D509" i="4" s="1"/>
  <c r="D551" i="4" s="1"/>
  <c r="H219" i="4"/>
  <c r="H262" i="4" s="1"/>
  <c r="H305" i="4" s="1"/>
  <c r="H348" i="4" s="1"/>
  <c r="H391" i="4" s="1"/>
  <c r="H434" i="4" s="1"/>
  <c r="H477" i="4" s="1"/>
  <c r="D223" i="4"/>
  <c r="D266" i="4" s="1"/>
  <c r="B224" i="4"/>
  <c r="C224" i="4"/>
  <c r="C267" i="4" s="1"/>
  <c r="C310" i="4" s="1"/>
  <c r="C353" i="4" s="1"/>
  <c r="C396" i="4" s="1"/>
  <c r="C439" i="4" s="1"/>
  <c r="C482" i="4" s="1"/>
  <c r="D224" i="4"/>
  <c r="D267" i="4" s="1"/>
  <c r="C227" i="4"/>
  <c r="D227" i="4"/>
  <c r="E227" i="4"/>
  <c r="E270" i="4" s="1"/>
  <c r="F227" i="4"/>
  <c r="D231" i="4"/>
  <c r="B234" i="4"/>
  <c r="B277" i="4" s="1"/>
  <c r="B320" i="4" s="1"/>
  <c r="B363" i="4" s="1"/>
  <c r="B406" i="4" s="1"/>
  <c r="B449" i="4" s="1"/>
  <c r="B492" i="4" s="1"/>
  <c r="B240" i="4"/>
  <c r="B283" i="4" s="1"/>
  <c r="B326" i="4" s="1"/>
  <c r="B369" i="4" s="1"/>
  <c r="B412" i="4" s="1"/>
  <c r="B455" i="4" s="1"/>
  <c r="C240" i="4"/>
  <c r="C243" i="4"/>
  <c r="C286" i="4" s="1"/>
  <c r="C245" i="4"/>
  <c r="C288" i="4" s="1"/>
  <c r="C331" i="4" s="1"/>
  <c r="C374" i="4" s="1"/>
  <c r="C417" i="4" s="1"/>
  <c r="C460" i="4" s="1"/>
  <c r="C503" i="4" s="1"/>
  <c r="C246" i="4"/>
  <c r="C289" i="4" s="1"/>
  <c r="C332" i="4" s="1"/>
  <c r="C375" i="4" s="1"/>
  <c r="C418" i="4" s="1"/>
  <c r="C461" i="4" s="1"/>
  <c r="C504" i="4" s="1"/>
  <c r="C590" i="4" s="1"/>
  <c r="B247" i="4"/>
  <c r="B290" i="4" s="1"/>
  <c r="B333" i="4" s="1"/>
  <c r="B376" i="4" s="1"/>
  <c r="B419" i="4" s="1"/>
  <c r="B462" i="4" s="1"/>
  <c r="B505" i="4" s="1"/>
  <c r="B248" i="4"/>
  <c r="D249" i="4"/>
  <c r="D292" i="4" s="1"/>
  <c r="D335" i="4" s="1"/>
  <c r="D378" i="4" s="1"/>
  <c r="D421" i="4" s="1"/>
  <c r="D464" i="4" s="1"/>
  <c r="D507" i="4" s="1"/>
  <c r="E254" i="4"/>
  <c r="E297" i="4" s="1"/>
  <c r="B267" i="4"/>
  <c r="B310" i="4" s="1"/>
  <c r="B353" i="4" s="1"/>
  <c r="B396" i="4" s="1"/>
  <c r="B439" i="4" s="1"/>
  <c r="B482" i="4" s="1"/>
  <c r="J267" i="4"/>
  <c r="C270" i="4"/>
  <c r="C313" i="4" s="1"/>
  <c r="C356" i="4" s="1"/>
  <c r="C399" i="4" s="1"/>
  <c r="C442" i="4" s="1"/>
  <c r="C485" i="4" s="1"/>
  <c r="D270" i="4"/>
  <c r="D313" i="4" s="1"/>
  <c r="D356" i="4" s="1"/>
  <c r="F270" i="4"/>
  <c r="J270" i="4"/>
  <c r="C274" i="4"/>
  <c r="C317" i="4" s="1"/>
  <c r="D274" i="4"/>
  <c r="D317" i="4" s="1"/>
  <c r="D360" i="4" s="1"/>
  <c r="D403" i="4" s="1"/>
  <c r="D446" i="4" s="1"/>
  <c r="D489" i="4" s="1"/>
  <c r="B275" i="4"/>
  <c r="B318" i="4" s="1"/>
  <c r="B361" i="4" s="1"/>
  <c r="B404" i="4" s="1"/>
  <c r="B447" i="4" s="1"/>
  <c r="B490" i="4" s="1"/>
  <c r="J277" i="4"/>
  <c r="B278" i="4"/>
  <c r="B321" i="4" s="1"/>
  <c r="B364" i="4" s="1"/>
  <c r="B407" i="4" s="1"/>
  <c r="B450" i="4" s="1"/>
  <c r="B493" i="4" s="1"/>
  <c r="J282" i="4"/>
  <c r="C283" i="4"/>
  <c r="C326" i="4" s="1"/>
  <c r="C369" i="4" s="1"/>
  <c r="C412" i="4" s="1"/>
  <c r="C455" i="4" s="1"/>
  <c r="C498" i="4" s="1"/>
  <c r="C541" i="4" s="1"/>
  <c r="D283" i="4"/>
  <c r="D326" i="4" s="1"/>
  <c r="D369" i="4" s="1"/>
  <c r="D412" i="4" s="1"/>
  <c r="D455" i="4" s="1"/>
  <c r="D498" i="4" s="1"/>
  <c r="D540" i="4" s="1"/>
  <c r="E283" i="4"/>
  <c r="E326" i="4" s="1"/>
  <c r="E369" i="4" s="1"/>
  <c r="E412" i="4" s="1"/>
  <c r="E455" i="4" s="1"/>
  <c r="E498" i="4" s="1"/>
  <c r="E541" i="4" s="1"/>
  <c r="D285" i="4"/>
  <c r="D328" i="4" s="1"/>
  <c r="D371" i="4" s="1"/>
  <c r="D414" i="4" s="1"/>
  <c r="D457" i="4" s="1"/>
  <c r="D500" i="4" s="1"/>
  <c r="J285" i="4"/>
  <c r="B289" i="4"/>
  <c r="B332" i="4" s="1"/>
  <c r="B291" i="4"/>
  <c r="B334" i="4" s="1"/>
  <c r="B377" i="4" s="1"/>
  <c r="B420" i="4" s="1"/>
  <c r="B463" i="4" s="1"/>
  <c r="B506" i="4" s="1"/>
  <c r="C292" i="4"/>
  <c r="C335" i="4" s="1"/>
  <c r="C378" i="4" s="1"/>
  <c r="C421" i="4" s="1"/>
  <c r="C464" i="4" s="1"/>
  <c r="C507" i="4" s="1"/>
  <c r="C593" i="4" s="1"/>
  <c r="J292" i="4"/>
  <c r="D309" i="4"/>
  <c r="D352" i="4" s="1"/>
  <c r="D310" i="4"/>
  <c r="D353" i="4" s="1"/>
  <c r="D396" i="4" s="1"/>
  <c r="D439" i="4" s="1"/>
  <c r="D482" i="4" s="1"/>
  <c r="D568" i="4" s="1"/>
  <c r="C311" i="4"/>
  <c r="C354" i="4" s="1"/>
  <c r="C397" i="4" s="1"/>
  <c r="C440" i="4" s="1"/>
  <c r="C483" i="4" s="1"/>
  <c r="C312" i="4"/>
  <c r="D312" i="4"/>
  <c r="D355" i="4" s="1"/>
  <c r="D398" i="4" s="1"/>
  <c r="D441" i="4" s="1"/>
  <c r="D484" i="4" s="1"/>
  <c r="B314" i="4"/>
  <c r="B357" i="4" s="1"/>
  <c r="B400" i="4" s="1"/>
  <c r="B316" i="4"/>
  <c r="B359" i="4" s="1"/>
  <c r="D321" i="4"/>
  <c r="D364" i="4" s="1"/>
  <c r="D407" i="4" s="1"/>
  <c r="D450" i="4" s="1"/>
  <c r="D493" i="4" s="1"/>
  <c r="B329" i="4"/>
  <c r="B372" i="4" s="1"/>
  <c r="C329" i="4"/>
  <c r="C372" i="4" s="1"/>
  <c r="C415" i="4" s="1"/>
  <c r="C458" i="4" s="1"/>
  <c r="C501" i="4" s="1"/>
  <c r="C334" i="4"/>
  <c r="C377" i="4" s="1"/>
  <c r="C420" i="4" s="1"/>
  <c r="C463" i="4" s="1"/>
  <c r="C506" i="4" s="1"/>
  <c r="E340" i="4"/>
  <c r="E383" i="4" s="1"/>
  <c r="E426" i="4" s="1"/>
  <c r="E469" i="4" s="1"/>
  <c r="E512" i="4" s="1"/>
  <c r="F340" i="4"/>
  <c r="G340" i="4"/>
  <c r="G383" i="4" s="1"/>
  <c r="G426" i="4" s="1"/>
  <c r="G469" i="4" s="1"/>
  <c r="G512" i="4" s="1"/>
  <c r="C355" i="4"/>
  <c r="C398" i="4" s="1"/>
  <c r="C441" i="4" s="1"/>
  <c r="C484" i="4" s="1"/>
  <c r="C527" i="4" s="1"/>
  <c r="B356" i="4"/>
  <c r="B399" i="4" s="1"/>
  <c r="B442" i="4" s="1"/>
  <c r="B485" i="4" s="1"/>
  <c r="B528" i="4" s="1"/>
  <c r="C360" i="4"/>
  <c r="C403" i="4" s="1"/>
  <c r="C446" i="4" s="1"/>
  <c r="C489" i="4" s="1"/>
  <c r="D362" i="4"/>
  <c r="D405" i="4" s="1"/>
  <c r="D448" i="4" s="1"/>
  <c r="D491" i="4" s="1"/>
  <c r="D367" i="4"/>
  <c r="D410" i="4" s="1"/>
  <c r="C368" i="4"/>
  <c r="C411" i="4" s="1"/>
  <c r="C371" i="4"/>
  <c r="C414" i="4" s="1"/>
  <c r="C457" i="4" s="1"/>
  <c r="B374" i="4"/>
  <c r="B417" i="4" s="1"/>
  <c r="B460" i="4" s="1"/>
  <c r="B503" i="4" s="1"/>
  <c r="B375" i="4"/>
  <c r="B418" i="4" s="1"/>
  <c r="B461" i="4" s="1"/>
  <c r="B504" i="4" s="1"/>
  <c r="F383" i="4"/>
  <c r="F426" i="4" s="1"/>
  <c r="F469" i="4" s="1"/>
  <c r="F512" i="4" s="1"/>
  <c r="D395" i="4"/>
  <c r="D438" i="4" s="1"/>
  <c r="D481" i="4" s="1"/>
  <c r="D567" i="4" s="1"/>
  <c r="J396" i="4"/>
  <c r="D399" i="4"/>
  <c r="D442" i="4" s="1"/>
  <c r="D485" i="4" s="1"/>
  <c r="J399" i="4"/>
  <c r="B402" i="4"/>
  <c r="J406" i="4"/>
  <c r="J411" i="4"/>
  <c r="J414" i="4"/>
  <c r="B415" i="4"/>
  <c r="B458" i="4" s="1"/>
  <c r="B501" i="4" s="1"/>
  <c r="D417" i="4"/>
  <c r="D460" i="4" s="1"/>
  <c r="J421" i="4"/>
  <c r="B422" i="4"/>
  <c r="B465" i="4" s="1"/>
  <c r="B508" i="4" s="1"/>
  <c r="B443" i="4"/>
  <c r="B486" i="4" s="1"/>
  <c r="C443" i="4"/>
  <c r="C486" i="4" s="1"/>
  <c r="C529" i="4" s="1"/>
  <c r="D444" i="4"/>
  <c r="D487" i="4" s="1"/>
  <c r="B445" i="4"/>
  <c r="B488" i="4" s="1"/>
  <c r="B531" i="4" s="1"/>
  <c r="C448" i="4"/>
  <c r="C491" i="4" s="1"/>
  <c r="C577" i="4" s="1"/>
  <c r="D453" i="4"/>
  <c r="D496" i="4" s="1"/>
  <c r="D582" i="4" s="1"/>
  <c r="C454" i="4"/>
  <c r="C497" i="4" s="1"/>
  <c r="B498" i="4"/>
  <c r="B541" i="4" s="1"/>
  <c r="C500" i="4"/>
  <c r="C586" i="4" s="1"/>
  <c r="D502" i="4"/>
  <c r="D588" i="4" s="1"/>
  <c r="D503" i="4"/>
  <c r="C531" i="4"/>
  <c r="D545" i="4"/>
  <c r="C550" i="4"/>
  <c r="M552" i="4"/>
  <c r="J568" i="4"/>
  <c r="J571" i="4"/>
  <c r="J578" i="4"/>
  <c r="L580" i="4"/>
  <c r="F608" i="4" s="1"/>
  <c r="M580" i="4"/>
  <c r="J583" i="4"/>
  <c r="B584" i="4"/>
  <c r="J586" i="4"/>
  <c r="D589" i="4"/>
  <c r="J593" i="4"/>
  <c r="M595" i="4"/>
  <c r="E618" i="4"/>
  <c r="E608" i="4"/>
  <c r="E613" i="4"/>
  <c r="S85" i="3"/>
  <c r="AE85" i="3" s="1"/>
  <c r="AQ85" i="3" s="1"/>
  <c r="BC85" i="3" s="1"/>
  <c r="BO85" i="3" s="1"/>
  <c r="S69" i="3"/>
  <c r="AE69" i="3" s="1"/>
  <c r="AQ69" i="3" s="1"/>
  <c r="BC69" i="3" s="1"/>
  <c r="BO69" i="3" s="1"/>
  <c r="S13" i="3"/>
  <c r="AE13" i="3" s="1"/>
  <c r="AQ13" i="3" s="1"/>
  <c r="BC13" i="3" s="1"/>
  <c r="BO13" i="3" s="1"/>
  <c r="G101" i="3"/>
  <c r="S101" i="3" s="1"/>
  <c r="AE101" i="3" s="1"/>
  <c r="AQ101" i="3" s="1"/>
  <c r="BC101" i="3" s="1"/>
  <c r="BO101" i="3" s="1"/>
  <c r="G93" i="3"/>
  <c r="S93" i="3" s="1"/>
  <c r="AE93" i="3" s="1"/>
  <c r="AQ93" i="3" s="1"/>
  <c r="BC93" i="3" s="1"/>
  <c r="BO93" i="3" s="1"/>
  <c r="G85" i="3"/>
  <c r="G77" i="3"/>
  <c r="S77" i="3" s="1"/>
  <c r="AE77" i="3" s="1"/>
  <c r="AQ77" i="3" s="1"/>
  <c r="BC77" i="3" s="1"/>
  <c r="BO77" i="3" s="1"/>
  <c r="G69" i="3"/>
  <c r="G61" i="3"/>
  <c r="S61" i="3" s="1"/>
  <c r="AE61" i="3" s="1"/>
  <c r="AQ61" i="3" s="1"/>
  <c r="BC61" i="3" s="1"/>
  <c r="BO61" i="3" s="1"/>
  <c r="G53" i="3"/>
  <c r="S53" i="3" s="1"/>
  <c r="AE53" i="3" s="1"/>
  <c r="AQ53" i="3" s="1"/>
  <c r="BC53" i="3" s="1"/>
  <c r="BO53" i="3" s="1"/>
  <c r="G45" i="3"/>
  <c r="S45" i="3" s="1"/>
  <c r="AE45" i="3" s="1"/>
  <c r="AQ45" i="3" s="1"/>
  <c r="BC45" i="3" s="1"/>
  <c r="BO45" i="3" s="1"/>
  <c r="G37" i="3"/>
  <c r="S37" i="3" s="1"/>
  <c r="AE37" i="3" s="1"/>
  <c r="AQ37" i="3" s="1"/>
  <c r="BC37" i="3" s="1"/>
  <c r="BO37" i="3" s="1"/>
  <c r="G29" i="3"/>
  <c r="S29" i="3" s="1"/>
  <c r="AE29" i="3" s="1"/>
  <c r="AQ29" i="3" s="1"/>
  <c r="BC29" i="3" s="1"/>
  <c r="BO29" i="3" s="1"/>
  <c r="G21" i="3"/>
  <c r="S21" i="3" s="1"/>
  <c r="AE21" i="3" s="1"/>
  <c r="AQ21" i="3" s="1"/>
  <c r="BC21" i="3" s="1"/>
  <c r="BO21" i="3" s="1"/>
  <c r="G13" i="3"/>
  <c r="G5" i="3"/>
  <c r="S5" i="3" s="1"/>
  <c r="AE5" i="3" s="1"/>
  <c r="AQ5" i="3" s="1"/>
  <c r="BC5" i="3" s="1"/>
  <c r="BO5" i="3" s="1"/>
  <c r="AQ114" i="3"/>
  <c r="AE114" i="3"/>
  <c r="S114" i="3"/>
  <c r="AT114" i="3"/>
  <c r="V114" i="3"/>
  <c r="G122" i="3"/>
  <c r="G114" i="3"/>
  <c r="G106" i="3"/>
  <c r="BO106" i="3"/>
  <c r="G98" i="3"/>
  <c r="BO98" i="3" s="1"/>
  <c r="G90" i="3"/>
  <c r="BO90" i="3" s="1"/>
  <c r="G82" i="3"/>
  <c r="BC82" i="3" s="1"/>
  <c r="G74" i="3"/>
  <c r="BO74" i="3" s="1"/>
  <c r="G66" i="3"/>
  <c r="BC66" i="3" s="1"/>
  <c r="G58" i="3"/>
  <c r="G50" i="3"/>
  <c r="BC50" i="3" s="1"/>
  <c r="G42" i="3"/>
  <c r="G34" i="3"/>
  <c r="S34" i="3" s="1"/>
  <c r="G26" i="3"/>
  <c r="BC26" i="3" s="1"/>
  <c r="G18" i="3"/>
  <c r="BC18" i="3" s="1"/>
  <c r="G10" i="3"/>
  <c r="S10" i="3" s="1"/>
  <c r="BO10" i="3" s="1"/>
  <c r="BR121" i="3"/>
  <c r="BM121" i="3"/>
  <c r="BF121" i="3"/>
  <c r="BA121" i="3"/>
  <c r="J121" i="3"/>
  <c r="BM119" i="3"/>
  <c r="BC119" i="3"/>
  <c r="BA119" i="3"/>
  <c r="V119" i="3"/>
  <c r="V121" i="3" s="1"/>
  <c r="G119" i="3"/>
  <c r="BT113" i="3"/>
  <c r="BO113" i="3"/>
  <c r="BO121" i="3" s="1"/>
  <c r="BH113" i="3"/>
  <c r="BO111" i="3"/>
  <c r="BO119" i="3" s="1"/>
  <c r="S111" i="3"/>
  <c r="AE111" i="3" s="1"/>
  <c r="AQ111" i="3" s="1"/>
  <c r="AQ119" i="3" s="1"/>
  <c r="BR63" i="3"/>
  <c r="BR71" i="3" s="1"/>
  <c r="BF63" i="3"/>
  <c r="BF71" i="3" s="1"/>
  <c r="BR57" i="3"/>
  <c r="BF57" i="3"/>
  <c r="BM17" i="3"/>
  <c r="BM25" i="3" s="1"/>
  <c r="BM33" i="3" s="1"/>
  <c r="BM41" i="3" s="1"/>
  <c r="BM49" i="3" s="1"/>
  <c r="BM57" i="3" s="1"/>
  <c r="BM65" i="3" s="1"/>
  <c r="BM73" i="3" s="1"/>
  <c r="BM81" i="3" s="1"/>
  <c r="BM89" i="3" s="1"/>
  <c r="BM97" i="3" s="1"/>
  <c r="BM105" i="3" s="1"/>
  <c r="BA17" i="3"/>
  <c r="BA25" i="3" s="1"/>
  <c r="BA33" i="3" s="1"/>
  <c r="BA41" i="3" s="1"/>
  <c r="BA49" i="3" s="1"/>
  <c r="BA57" i="3" s="1"/>
  <c r="BA65" i="3" s="1"/>
  <c r="BA73" i="3" s="1"/>
  <c r="BA81" i="3" s="1"/>
  <c r="BA89" i="3" s="1"/>
  <c r="BA97" i="3" s="1"/>
  <c r="BA105" i="3" s="1"/>
  <c r="G17" i="3"/>
  <c r="BC17" i="3" s="1"/>
  <c r="E17" i="3"/>
  <c r="E25" i="3" s="1"/>
  <c r="E33" i="3" s="1"/>
  <c r="E41" i="3" s="1"/>
  <c r="E49" i="3" s="1"/>
  <c r="E57" i="3" s="1"/>
  <c r="E65" i="3" s="1"/>
  <c r="E73" i="3" s="1"/>
  <c r="E81" i="3" s="1"/>
  <c r="E89" i="3" s="1"/>
  <c r="E97" i="3" s="1"/>
  <c r="E113" i="3" s="1"/>
  <c r="BT15" i="3"/>
  <c r="BT17" i="3" s="1"/>
  <c r="BM15" i="3"/>
  <c r="BM23" i="3" s="1"/>
  <c r="BM31" i="3" s="1"/>
  <c r="BM39" i="3" s="1"/>
  <c r="BM47" i="3" s="1"/>
  <c r="BM55" i="3" s="1"/>
  <c r="BM63" i="3" s="1"/>
  <c r="BM71" i="3" s="1"/>
  <c r="BM79" i="3" s="1"/>
  <c r="BM87" i="3" s="1"/>
  <c r="BM95" i="3" s="1"/>
  <c r="BM103" i="3" s="1"/>
  <c r="BH15" i="3"/>
  <c r="BH23" i="3" s="1"/>
  <c r="BA15" i="3"/>
  <c r="BA23" i="3" s="1"/>
  <c r="BA31" i="3" s="1"/>
  <c r="BA39" i="3" s="1"/>
  <c r="BA47" i="3" s="1"/>
  <c r="BA55" i="3" s="1"/>
  <c r="BA63" i="3" s="1"/>
  <c r="BA71" i="3" s="1"/>
  <c r="BA79" i="3" s="1"/>
  <c r="BA87" i="3" s="1"/>
  <c r="BA95" i="3" s="1"/>
  <c r="BA103" i="3" s="1"/>
  <c r="L15" i="3"/>
  <c r="L23" i="3" s="1"/>
  <c r="J15" i="3"/>
  <c r="BF15" i="3" s="1"/>
  <c r="BF17" i="3" s="1"/>
  <c r="G15" i="3"/>
  <c r="BC15" i="3" s="1"/>
  <c r="E15" i="3"/>
  <c r="E23" i="3" s="1"/>
  <c r="E31" i="3" s="1"/>
  <c r="E39" i="3" s="1"/>
  <c r="E47" i="3" s="1"/>
  <c r="E55" i="3" s="1"/>
  <c r="E63" i="3" s="1"/>
  <c r="E71" i="3" s="1"/>
  <c r="E79" i="3" s="1"/>
  <c r="E87" i="3" s="1"/>
  <c r="E95" i="3" s="1"/>
  <c r="E111" i="3" s="1"/>
  <c r="BT9" i="3"/>
  <c r="BH9" i="3"/>
  <c r="BC9" i="3"/>
  <c r="AQ9" i="3"/>
  <c r="AQ17" i="3" s="1"/>
  <c r="AQ25" i="3" s="1"/>
  <c r="AQ33" i="3" s="1"/>
  <c r="AQ41" i="3" s="1"/>
  <c r="AQ49" i="3" s="1"/>
  <c r="AQ57" i="3" s="1"/>
  <c r="AQ65" i="3" s="1"/>
  <c r="AQ73" i="3" s="1"/>
  <c r="AQ81" i="3" s="1"/>
  <c r="AQ89" i="3" s="1"/>
  <c r="AQ97" i="3" s="1"/>
  <c r="AQ105" i="3" s="1"/>
  <c r="AO9" i="3"/>
  <c r="AO17" i="3" s="1"/>
  <c r="AO25" i="3" s="1"/>
  <c r="AO33" i="3" s="1"/>
  <c r="AO41" i="3" s="1"/>
  <c r="AO49" i="3" s="1"/>
  <c r="AO57" i="3" s="1"/>
  <c r="AO65" i="3" s="1"/>
  <c r="AO73" i="3" s="1"/>
  <c r="AO81" i="3" s="1"/>
  <c r="AO89" i="3" s="1"/>
  <c r="AO97" i="3" s="1"/>
  <c r="AO105" i="3" s="1"/>
  <c r="AE9" i="3"/>
  <c r="AE17" i="3" s="1"/>
  <c r="AE25" i="3" s="1"/>
  <c r="AE33" i="3" s="1"/>
  <c r="AE41" i="3" s="1"/>
  <c r="AE49" i="3" s="1"/>
  <c r="AE57" i="3" s="1"/>
  <c r="AE65" i="3" s="1"/>
  <c r="AE73" i="3" s="1"/>
  <c r="AE81" i="3" s="1"/>
  <c r="AE89" i="3" s="1"/>
  <c r="AE97" i="3" s="1"/>
  <c r="AE105" i="3" s="1"/>
  <c r="AC9" i="3"/>
  <c r="AC17" i="3" s="1"/>
  <c r="AC25" i="3" s="1"/>
  <c r="AC33" i="3" s="1"/>
  <c r="AC41" i="3" s="1"/>
  <c r="AC49" i="3" s="1"/>
  <c r="AC57" i="3" s="1"/>
  <c r="AC65" i="3" s="1"/>
  <c r="AC73" i="3" s="1"/>
  <c r="AC81" i="3" s="1"/>
  <c r="AC89" i="3" s="1"/>
  <c r="AC97" i="3" s="1"/>
  <c r="AC113" i="3" s="1"/>
  <c r="AC121" i="3" s="1"/>
  <c r="S9" i="3"/>
  <c r="Q9" i="3"/>
  <c r="Q17" i="3" s="1"/>
  <c r="Q25" i="3" s="1"/>
  <c r="Q33" i="3" s="1"/>
  <c r="Q41" i="3" s="1"/>
  <c r="Q49" i="3" s="1"/>
  <c r="Q57" i="3" s="1"/>
  <c r="Q65" i="3" s="1"/>
  <c r="Q73" i="3" s="1"/>
  <c r="Q81" i="3" s="1"/>
  <c r="Q89" i="3" s="1"/>
  <c r="Q97" i="3" s="1"/>
  <c r="Q105" i="3" s="1"/>
  <c r="L9" i="3"/>
  <c r="J9" i="3"/>
  <c r="BF7" i="3"/>
  <c r="BF9" i="3" s="1"/>
  <c r="BC7" i="3"/>
  <c r="AV7" i="3"/>
  <c r="AV15" i="3" s="1"/>
  <c r="AT7" i="3"/>
  <c r="AT9" i="3" s="1"/>
  <c r="AQ7" i="3"/>
  <c r="AQ15" i="3" s="1"/>
  <c r="AQ23" i="3" s="1"/>
  <c r="AQ31" i="3" s="1"/>
  <c r="AQ39" i="3" s="1"/>
  <c r="AQ47" i="3" s="1"/>
  <c r="AQ55" i="3" s="1"/>
  <c r="AQ63" i="3" s="1"/>
  <c r="AQ71" i="3" s="1"/>
  <c r="AQ79" i="3" s="1"/>
  <c r="AQ87" i="3" s="1"/>
  <c r="AQ95" i="3" s="1"/>
  <c r="AQ103" i="3" s="1"/>
  <c r="AO7" i="3"/>
  <c r="AO15" i="3" s="1"/>
  <c r="AO23" i="3" s="1"/>
  <c r="AO31" i="3" s="1"/>
  <c r="AO39" i="3" s="1"/>
  <c r="AO47" i="3" s="1"/>
  <c r="AO55" i="3" s="1"/>
  <c r="AO63" i="3" s="1"/>
  <c r="AO71" i="3" s="1"/>
  <c r="AO79" i="3" s="1"/>
  <c r="AO87" i="3" s="1"/>
  <c r="AO95" i="3" s="1"/>
  <c r="AO103" i="3" s="1"/>
  <c r="AJ7" i="3"/>
  <c r="AJ9" i="3" s="1"/>
  <c r="AH7" i="3"/>
  <c r="AH9" i="3" s="1"/>
  <c r="AE7" i="3"/>
  <c r="AE15" i="3" s="1"/>
  <c r="AE23" i="3" s="1"/>
  <c r="AE31" i="3" s="1"/>
  <c r="AE39" i="3" s="1"/>
  <c r="AE47" i="3" s="1"/>
  <c r="AE55" i="3" s="1"/>
  <c r="AE63" i="3" s="1"/>
  <c r="AE71" i="3" s="1"/>
  <c r="AE79" i="3" s="1"/>
  <c r="AE87" i="3" s="1"/>
  <c r="AE95" i="3" s="1"/>
  <c r="AE103" i="3" s="1"/>
  <c r="AC7" i="3"/>
  <c r="AC15" i="3" s="1"/>
  <c r="AC23" i="3" s="1"/>
  <c r="AC31" i="3" s="1"/>
  <c r="AC39" i="3" s="1"/>
  <c r="AC47" i="3" s="1"/>
  <c r="AC55" i="3" s="1"/>
  <c r="AC63" i="3" s="1"/>
  <c r="AC71" i="3" s="1"/>
  <c r="AC79" i="3" s="1"/>
  <c r="AC87" i="3" s="1"/>
  <c r="AC95" i="3" s="1"/>
  <c r="AC111" i="3" s="1"/>
  <c r="X7" i="3"/>
  <c r="X15" i="3" s="1"/>
  <c r="V7" i="3"/>
  <c r="BR7" i="3" s="1"/>
  <c r="BR9" i="3" s="1"/>
  <c r="S7" i="3"/>
  <c r="BO7" i="3" s="1"/>
  <c r="Q7" i="3"/>
  <c r="Q15" i="3" s="1"/>
  <c r="Q23" i="3" s="1"/>
  <c r="Q31" i="3" s="1"/>
  <c r="Q39" i="3" s="1"/>
  <c r="Q47" i="3" s="1"/>
  <c r="Q55" i="3" s="1"/>
  <c r="Q63" i="3" s="1"/>
  <c r="Q71" i="3" s="1"/>
  <c r="Q79" i="3" s="1"/>
  <c r="Q87" i="3" s="1"/>
  <c r="Q95" i="3" s="1"/>
  <c r="Q103" i="3" s="1"/>
  <c r="AU14" i="5" l="1"/>
  <c r="AV6" i="5" s="1"/>
  <c r="L595" i="4"/>
  <c r="F613" i="4" s="1"/>
  <c r="AO6" i="5"/>
  <c r="AR6" i="5"/>
  <c r="AU6" i="5" s="1"/>
  <c r="AS8" i="5"/>
  <c r="AV8" i="5" s="1"/>
  <c r="AP8" i="5"/>
  <c r="AS9" i="5"/>
  <c r="AP9" i="5"/>
  <c r="L41" i="4"/>
  <c r="AH114" i="3"/>
  <c r="J10" i="3"/>
  <c r="BF10" i="3" s="1"/>
  <c r="BA10" i="3" s="1"/>
  <c r="D570" i="4"/>
  <c r="D526" i="4"/>
  <c r="C548" i="4"/>
  <c r="C591" i="4"/>
  <c r="D587" i="4"/>
  <c r="D543" i="4"/>
  <c r="C546" i="4"/>
  <c r="C589" i="4"/>
  <c r="D578" i="4"/>
  <c r="D534" i="4"/>
  <c r="B569" i="4"/>
  <c r="B526" i="4"/>
  <c r="C578" i="4"/>
  <c r="C535" i="4"/>
  <c r="C573" i="4"/>
  <c r="C530" i="4"/>
  <c r="B530" i="4"/>
  <c r="B573" i="4"/>
  <c r="G103" i="4"/>
  <c r="F146" i="4"/>
  <c r="F189" i="4" s="1"/>
  <c r="H189" i="4" s="1"/>
  <c r="D547" i="4"/>
  <c r="D591" i="4"/>
  <c r="D574" i="4"/>
  <c r="D530" i="4"/>
  <c r="D572" i="4"/>
  <c r="D528" i="4"/>
  <c r="B533" i="4"/>
  <c r="B576" i="4"/>
  <c r="I149" i="4"/>
  <c r="F192" i="4"/>
  <c r="C576" i="4"/>
  <c r="C533" i="4"/>
  <c r="C569" i="4"/>
  <c r="C526" i="4"/>
  <c r="B592" i="4"/>
  <c r="B549" i="4"/>
  <c r="E313" i="4"/>
  <c r="E356" i="4" s="1"/>
  <c r="G270" i="4"/>
  <c r="C588" i="4"/>
  <c r="C545" i="4"/>
  <c r="B543" i="4"/>
  <c r="B586" i="4"/>
  <c r="B588" i="4"/>
  <c r="B545" i="4"/>
  <c r="D541" i="4"/>
  <c r="D585" i="4"/>
  <c r="B548" i="4"/>
  <c r="B591" i="4"/>
  <c r="G144" i="4"/>
  <c r="H62" i="4"/>
  <c r="E143" i="4"/>
  <c r="H101" i="4"/>
  <c r="H54" i="4"/>
  <c r="H52" i="4"/>
  <c r="H33" i="4"/>
  <c r="H29" i="4"/>
  <c r="H154" i="4"/>
  <c r="H105" i="4"/>
  <c r="G101" i="4"/>
  <c r="G54" i="4"/>
  <c r="G33" i="4"/>
  <c r="G29" i="4"/>
  <c r="H21" i="4"/>
  <c r="G97" i="4"/>
  <c r="H28" i="4"/>
  <c r="F70" i="4"/>
  <c r="E584" i="4"/>
  <c r="H184" i="4"/>
  <c r="E70" i="4"/>
  <c r="H70" i="4" s="1"/>
  <c r="H227" i="4"/>
  <c r="F140" i="4"/>
  <c r="H140" i="4" s="1"/>
  <c r="F110" i="4"/>
  <c r="E103" i="4"/>
  <c r="E146" i="4" s="1"/>
  <c r="E189" i="4" s="1"/>
  <c r="E232" i="4" s="1"/>
  <c r="I24" i="4"/>
  <c r="I26" i="4" s="1"/>
  <c r="B574" i="4"/>
  <c r="G227" i="4"/>
  <c r="G98" i="4"/>
  <c r="H144" i="4"/>
  <c r="G78" i="4"/>
  <c r="C571" i="4"/>
  <c r="C528" i="4"/>
  <c r="B585" i="4"/>
  <c r="B542" i="4"/>
  <c r="D542" i="4"/>
  <c r="D586" i="4"/>
  <c r="D583" i="4"/>
  <c r="D539" i="4"/>
  <c r="B575" i="4"/>
  <c r="B532" i="4"/>
  <c r="H555" i="4"/>
  <c r="H598" i="4"/>
  <c r="F520" i="4"/>
  <c r="F563" i="4"/>
  <c r="G563" i="4"/>
  <c r="G520" i="4"/>
  <c r="D575" i="4"/>
  <c r="D531" i="4"/>
  <c r="B551" i="4"/>
  <c r="B594" i="4"/>
  <c r="B527" i="4"/>
  <c r="B570" i="4"/>
  <c r="C532" i="4"/>
  <c r="C575" i="4"/>
  <c r="C542" i="4"/>
  <c r="C585" i="4"/>
  <c r="D593" i="4"/>
  <c r="D549" i="4"/>
  <c r="B547" i="4"/>
  <c r="B590" i="4"/>
  <c r="E598" i="4"/>
  <c r="E555" i="4"/>
  <c r="D550" i="4"/>
  <c r="D594" i="4"/>
  <c r="G555" i="4"/>
  <c r="G598" i="4"/>
  <c r="B546" i="4"/>
  <c r="B589" i="4"/>
  <c r="D571" i="4"/>
  <c r="D527" i="4"/>
  <c r="D577" i="4"/>
  <c r="D533" i="4"/>
  <c r="D529" i="4"/>
  <c r="D573" i="4"/>
  <c r="D548" i="4"/>
  <c r="D592" i="4"/>
  <c r="F555" i="4"/>
  <c r="F598" i="4"/>
  <c r="C592" i="4"/>
  <c r="C549" i="4"/>
  <c r="B534" i="4"/>
  <c r="B577" i="4"/>
  <c r="C525" i="4"/>
  <c r="C568" i="4"/>
  <c r="B525" i="4"/>
  <c r="B568" i="4"/>
  <c r="D557" i="4"/>
  <c r="D600" i="4"/>
  <c r="C544" i="4"/>
  <c r="C587" i="4"/>
  <c r="C551" i="4"/>
  <c r="C594" i="4"/>
  <c r="B535" i="4"/>
  <c r="B578" i="4"/>
  <c r="D579" i="4"/>
  <c r="D535" i="4"/>
  <c r="D546" i="4"/>
  <c r="D590" i="4"/>
  <c r="C536" i="4"/>
  <c r="C579" i="4"/>
  <c r="B544" i="4"/>
  <c r="B587" i="4"/>
  <c r="B583" i="4"/>
  <c r="B540" i="4"/>
  <c r="C540" i="4"/>
  <c r="C583" i="4"/>
  <c r="H563" i="4"/>
  <c r="H520" i="4"/>
  <c r="D556" i="4"/>
  <c r="D599" i="4"/>
  <c r="B579" i="4"/>
  <c r="B536" i="4"/>
  <c r="E399" i="4"/>
  <c r="H30" i="4"/>
  <c r="F36" i="4"/>
  <c r="F73" i="4"/>
  <c r="F84" i="4" s="1"/>
  <c r="D569" i="4"/>
  <c r="F114" i="4"/>
  <c r="H71" i="4"/>
  <c r="H72" i="4"/>
  <c r="F115" i="4"/>
  <c r="B571" i="4"/>
  <c r="B550" i="4"/>
  <c r="C547" i="4"/>
  <c r="D524" i="4"/>
  <c r="B572" i="4"/>
  <c r="B529" i="4"/>
  <c r="G30" i="4"/>
  <c r="E73" i="4"/>
  <c r="D552" i="4"/>
  <c r="G187" i="4"/>
  <c r="E230" i="4"/>
  <c r="H143" i="4"/>
  <c r="F186" i="4"/>
  <c r="D580" i="4"/>
  <c r="D536" i="4"/>
  <c r="E563" i="4"/>
  <c r="F224" i="4"/>
  <c r="E275" i="4"/>
  <c r="E186" i="4"/>
  <c r="G143" i="4"/>
  <c r="F121" i="4"/>
  <c r="H78" i="4"/>
  <c r="E244" i="4"/>
  <c r="G26" i="4"/>
  <c r="H26" i="4"/>
  <c r="E69" i="4"/>
  <c r="E36" i="4"/>
  <c r="G36" i="4" s="1"/>
  <c r="H270" i="4"/>
  <c r="F313" i="4"/>
  <c r="L600" i="4"/>
  <c r="F618" i="4" s="1"/>
  <c r="F335" i="4"/>
  <c r="C543" i="4"/>
  <c r="F119" i="4"/>
  <c r="H76" i="4"/>
  <c r="D595" i="4"/>
  <c r="D537" i="4"/>
  <c r="F240" i="4"/>
  <c r="G197" i="4"/>
  <c r="H197" i="4"/>
  <c r="D584" i="4"/>
  <c r="D544" i="4"/>
  <c r="C572" i="4"/>
  <c r="C534" i="4"/>
  <c r="C584" i="4"/>
  <c r="D576" i="4"/>
  <c r="C570" i="4"/>
  <c r="H230" i="4"/>
  <c r="F235" i="4"/>
  <c r="E204" i="4"/>
  <c r="H146" i="4"/>
  <c r="H103" i="4"/>
  <c r="H96" i="4"/>
  <c r="E121" i="4"/>
  <c r="G146" i="4"/>
  <c r="E162" i="4"/>
  <c r="G96" i="4"/>
  <c r="F182" i="4"/>
  <c r="H139" i="4"/>
  <c r="F155" i="4"/>
  <c r="G189" i="4"/>
  <c r="E182" i="4"/>
  <c r="G139" i="4"/>
  <c r="G154" i="4"/>
  <c r="G140" i="4"/>
  <c r="E183" i="4"/>
  <c r="F232" i="4"/>
  <c r="H75" i="4"/>
  <c r="F118" i="4"/>
  <c r="F102" i="4"/>
  <c r="H59" i="4"/>
  <c r="E102" i="4"/>
  <c r="G59" i="4"/>
  <c r="F359" i="4"/>
  <c r="H148" i="4"/>
  <c r="F191" i="4"/>
  <c r="I141" i="4"/>
  <c r="E104" i="4"/>
  <c r="G61" i="4"/>
  <c r="H100" i="4"/>
  <c r="E191" i="4"/>
  <c r="G148" i="4"/>
  <c r="H141" i="4"/>
  <c r="G184" i="4"/>
  <c r="G141" i="4"/>
  <c r="E153" i="4"/>
  <c r="G110" i="4"/>
  <c r="F79" i="4"/>
  <c r="G72" i="4"/>
  <c r="F113" i="4"/>
  <c r="F41" i="4"/>
  <c r="H41" i="4" s="1"/>
  <c r="G105" i="4"/>
  <c r="H98" i="4"/>
  <c r="G118" i="4"/>
  <c r="G111" i="4"/>
  <c r="H56" i="4"/>
  <c r="F99" i="4"/>
  <c r="G28" i="4"/>
  <c r="E71" i="4"/>
  <c r="E41" i="4"/>
  <c r="G77" i="4"/>
  <c r="H77" i="4"/>
  <c r="E120" i="4"/>
  <c r="G56" i="4"/>
  <c r="E99" i="4"/>
  <c r="H31" i="4"/>
  <c r="F74" i="4"/>
  <c r="F95" i="4"/>
  <c r="F64" i="4"/>
  <c r="G31" i="4"/>
  <c r="E74" i="4"/>
  <c r="H187" i="4"/>
  <c r="E95" i="4"/>
  <c r="E64" i="4"/>
  <c r="G34" i="4"/>
  <c r="H34" i="4"/>
  <c r="G63" i="4"/>
  <c r="H63" i="4"/>
  <c r="E106" i="4"/>
  <c r="H61" i="4"/>
  <c r="F104" i="4"/>
  <c r="H53" i="4"/>
  <c r="G67" i="4"/>
  <c r="BC90" i="3"/>
  <c r="S106" i="3"/>
  <c r="AE106" i="3" s="1"/>
  <c r="AC105" i="3"/>
  <c r="BC98" i="3"/>
  <c r="BC106" i="3"/>
  <c r="Q106" i="3"/>
  <c r="AQ106" i="3"/>
  <c r="AC106" i="3"/>
  <c r="S98" i="3"/>
  <c r="Q98" i="3" s="1"/>
  <c r="E103" i="3"/>
  <c r="BO82" i="3"/>
  <c r="S90" i="3"/>
  <c r="Q90" i="3" s="1"/>
  <c r="E105" i="3"/>
  <c r="AC103" i="3"/>
  <c r="S82" i="3"/>
  <c r="AE82" i="3" s="1"/>
  <c r="AJ15" i="3"/>
  <c r="AJ17" i="3" s="1"/>
  <c r="S119" i="3"/>
  <c r="S66" i="3"/>
  <c r="Q66" i="3" s="1"/>
  <c r="BF65" i="3"/>
  <c r="BT23" i="3"/>
  <c r="BT31" i="3" s="1"/>
  <c r="BT39" i="3" s="1"/>
  <c r="AV9" i="3"/>
  <c r="AO113" i="3"/>
  <c r="AO121" i="3" s="1"/>
  <c r="V9" i="3"/>
  <c r="BO66" i="3"/>
  <c r="X9" i="3"/>
  <c r="Q82" i="3"/>
  <c r="BC74" i="3"/>
  <c r="S74" i="3"/>
  <c r="AE74" i="3" s="1"/>
  <c r="AC74" i="3" s="1"/>
  <c r="BC34" i="3"/>
  <c r="Q113" i="3"/>
  <c r="E121" i="3"/>
  <c r="Q121" i="3" s="1"/>
  <c r="E119" i="3"/>
  <c r="Q111" i="3"/>
  <c r="Q119" i="3" s="1"/>
  <c r="X23" i="3"/>
  <c r="X17" i="3"/>
  <c r="AV23" i="3"/>
  <c r="AV17" i="3"/>
  <c r="J34" i="3"/>
  <c r="BR79" i="3"/>
  <c r="BR73" i="3"/>
  <c r="AQ82" i="3"/>
  <c r="AC82" i="3"/>
  <c r="AC119" i="3"/>
  <c r="AO111" i="3"/>
  <c r="AO119" i="3" s="1"/>
  <c r="AE34" i="3"/>
  <c r="BO34" i="3"/>
  <c r="Q34" i="3"/>
  <c r="BC58" i="3"/>
  <c r="BO58" i="3"/>
  <c r="S58" i="3"/>
  <c r="S17" i="3"/>
  <c r="BO9" i="3"/>
  <c r="BT25" i="3"/>
  <c r="Q10" i="3"/>
  <c r="AE10" i="3"/>
  <c r="L31" i="3"/>
  <c r="L25" i="3"/>
  <c r="BC42" i="3"/>
  <c r="S42" i="3"/>
  <c r="BH31" i="3"/>
  <c r="BH25" i="3"/>
  <c r="BF73" i="3"/>
  <c r="BF79" i="3"/>
  <c r="AH15" i="3"/>
  <c r="J18" i="3"/>
  <c r="G23" i="3"/>
  <c r="G25" i="3"/>
  <c r="AE119" i="3"/>
  <c r="AT15" i="3"/>
  <c r="J17" i="3"/>
  <c r="J23" i="3"/>
  <c r="AH119" i="3"/>
  <c r="L17" i="3"/>
  <c r="S50" i="3"/>
  <c r="BR65" i="3"/>
  <c r="BC10" i="3"/>
  <c r="S15" i="3"/>
  <c r="S18" i="3"/>
  <c r="S26" i="3"/>
  <c r="V15" i="3"/>
  <c r="BH17" i="3"/>
  <c r="BR10" i="3" l="1"/>
  <c r="L84" i="4"/>
  <c r="L127" i="4" s="1"/>
  <c r="L170" i="4" s="1"/>
  <c r="L213" i="4" s="1"/>
  <c r="L256" i="4" s="1"/>
  <c r="L299" i="4" s="1"/>
  <c r="L342" i="4" s="1"/>
  <c r="L385" i="4" s="1"/>
  <c r="L428" i="4" s="1"/>
  <c r="L471" i="4" s="1"/>
  <c r="L514" i="4" s="1"/>
  <c r="L557" i="4"/>
  <c r="H110" i="4"/>
  <c r="F153" i="4"/>
  <c r="G70" i="4"/>
  <c r="G64" i="4"/>
  <c r="E113" i="4"/>
  <c r="E79" i="4"/>
  <c r="G79" i="4" s="1"/>
  <c r="F183" i="4"/>
  <c r="F226" i="4" s="1"/>
  <c r="I33" i="4"/>
  <c r="I34" i="4" s="1"/>
  <c r="I27" i="4"/>
  <c r="H182" i="4"/>
  <c r="F225" i="4"/>
  <c r="E287" i="4"/>
  <c r="F116" i="4"/>
  <c r="H73" i="4"/>
  <c r="F156" i="4"/>
  <c r="H113" i="4"/>
  <c r="F378" i="4"/>
  <c r="H36" i="4"/>
  <c r="E318" i="4"/>
  <c r="F402" i="4"/>
  <c r="E247" i="4"/>
  <c r="H119" i="4"/>
  <c r="F162" i="4"/>
  <c r="G162" i="4" s="1"/>
  <c r="G102" i="4"/>
  <c r="E145" i="4"/>
  <c r="H95" i="4"/>
  <c r="F127" i="4"/>
  <c r="F107" i="4"/>
  <c r="E147" i="4"/>
  <c r="G104" i="4"/>
  <c r="F145" i="4"/>
  <c r="H102" i="4"/>
  <c r="G69" i="4"/>
  <c r="H69" i="4"/>
  <c r="E112" i="4"/>
  <c r="E84" i="4"/>
  <c r="G84" i="4" s="1"/>
  <c r="G41" i="4"/>
  <c r="E114" i="4"/>
  <c r="H114" i="4" s="1"/>
  <c r="G71" i="4"/>
  <c r="G106" i="4"/>
  <c r="E149" i="4"/>
  <c r="H106" i="4"/>
  <c r="G182" i="4"/>
  <c r="E225" i="4"/>
  <c r="H121" i="4"/>
  <c r="F164" i="4"/>
  <c r="F229" i="4"/>
  <c r="H186" i="4"/>
  <c r="G95" i="4"/>
  <c r="E138" i="4"/>
  <c r="E107" i="4"/>
  <c r="G107" i="4" s="1"/>
  <c r="G121" i="4"/>
  <c r="E164" i="4"/>
  <c r="H240" i="4"/>
  <c r="F283" i="4"/>
  <c r="F157" i="4"/>
  <c r="F147" i="4"/>
  <c r="H104" i="4"/>
  <c r="G191" i="4"/>
  <c r="E234" i="4"/>
  <c r="F267" i="4"/>
  <c r="H64" i="4"/>
  <c r="F142" i="4"/>
  <c r="H99" i="4"/>
  <c r="H74" i="4"/>
  <c r="F117" i="4"/>
  <c r="E196" i="4"/>
  <c r="G153" i="4"/>
  <c r="H118" i="4"/>
  <c r="F161" i="4"/>
  <c r="E205" i="4"/>
  <c r="F278" i="4"/>
  <c r="G113" i="4"/>
  <c r="E156" i="4"/>
  <c r="F234" i="4"/>
  <c r="H191" i="4"/>
  <c r="G119" i="4"/>
  <c r="G313" i="4"/>
  <c r="F356" i="4"/>
  <c r="H313" i="4"/>
  <c r="E142" i="4"/>
  <c r="G99" i="4"/>
  <c r="G240" i="4"/>
  <c r="E229" i="4"/>
  <c r="G186" i="4"/>
  <c r="E273" i="4"/>
  <c r="G230" i="4"/>
  <c r="E442" i="4"/>
  <c r="E163" i="4"/>
  <c r="G120" i="4"/>
  <c r="H120" i="4"/>
  <c r="E116" i="4"/>
  <c r="E127" i="4" s="1"/>
  <c r="G73" i="4"/>
  <c r="E226" i="4"/>
  <c r="G183" i="4"/>
  <c r="G74" i="4"/>
  <c r="E117" i="4"/>
  <c r="H232" i="4"/>
  <c r="F275" i="4"/>
  <c r="G275" i="4" s="1"/>
  <c r="F198" i="4"/>
  <c r="G232" i="4"/>
  <c r="F158" i="4"/>
  <c r="G115" i="4"/>
  <c r="H115" i="4"/>
  <c r="AJ23" i="3"/>
  <c r="J26" i="3"/>
  <c r="BF26" i="3" s="1"/>
  <c r="BA26" i="3" s="1"/>
  <c r="AE98" i="3"/>
  <c r="AE90" i="3"/>
  <c r="BT33" i="3"/>
  <c r="AQ74" i="3"/>
  <c r="AE66" i="3"/>
  <c r="AQ66" i="3" s="1"/>
  <c r="AC66" i="3"/>
  <c r="S122" i="3"/>
  <c r="BO122" i="3" s="1"/>
  <c r="J42" i="3"/>
  <c r="BF81" i="3"/>
  <c r="BF87" i="3"/>
  <c r="BH33" i="3"/>
  <c r="BH39" i="3"/>
  <c r="AH121" i="3"/>
  <c r="AT119" i="3"/>
  <c r="AT121" i="3" s="1"/>
  <c r="BR34" i="3"/>
  <c r="BF34" i="3"/>
  <c r="BA34" i="3" s="1"/>
  <c r="BC25" i="3"/>
  <c r="BC33" i="3" s="1"/>
  <c r="BC41" i="3" s="1"/>
  <c r="BC49" i="3" s="1"/>
  <c r="BC57" i="3" s="1"/>
  <c r="BC65" i="3" s="1"/>
  <c r="BC73" i="3" s="1"/>
  <c r="BC81" i="3" s="1"/>
  <c r="BC89" i="3" s="1"/>
  <c r="BC97" i="3" s="1"/>
  <c r="BC105" i="3" s="1"/>
  <c r="G33" i="3"/>
  <c r="G41" i="3" s="1"/>
  <c r="G49" i="3" s="1"/>
  <c r="G57" i="3" s="1"/>
  <c r="G65" i="3" s="1"/>
  <c r="G73" i="3" s="1"/>
  <c r="G81" i="3" s="1"/>
  <c r="G89" i="3" s="1"/>
  <c r="G97" i="3" s="1"/>
  <c r="AC90" i="3"/>
  <c r="AQ90" i="3"/>
  <c r="AJ25" i="3"/>
  <c r="AJ31" i="3"/>
  <c r="S23" i="3"/>
  <c r="BO15" i="3"/>
  <c r="BC23" i="3"/>
  <c r="BC31" i="3" s="1"/>
  <c r="BC39" i="3" s="1"/>
  <c r="BC47" i="3" s="1"/>
  <c r="BC55" i="3" s="1"/>
  <c r="BC63" i="3" s="1"/>
  <c r="BC71" i="3" s="1"/>
  <c r="BC79" i="3" s="1"/>
  <c r="BC87" i="3" s="1"/>
  <c r="BC95" i="3" s="1"/>
  <c r="BC103" i="3" s="1"/>
  <c r="G31" i="3"/>
  <c r="G39" i="3" s="1"/>
  <c r="G47" i="3" s="1"/>
  <c r="G55" i="3" s="1"/>
  <c r="G63" i="3" s="1"/>
  <c r="G71" i="3" s="1"/>
  <c r="G79" i="3" s="1"/>
  <c r="G87" i="3" s="1"/>
  <c r="G95" i="3" s="1"/>
  <c r="G103" i="3" s="1"/>
  <c r="BF18" i="3"/>
  <c r="BA18" i="3" s="1"/>
  <c r="BR18" i="3"/>
  <c r="AQ98" i="3"/>
  <c r="AC98" i="3"/>
  <c r="AV31" i="3"/>
  <c r="AV25" i="3"/>
  <c r="BR81" i="3"/>
  <c r="BR87" i="3"/>
  <c r="AC34" i="3"/>
  <c r="AQ34" i="3"/>
  <c r="AO34" i="3" s="1"/>
  <c r="N13" i="5" s="1"/>
  <c r="BT41" i="3"/>
  <c r="BT47" i="3"/>
  <c r="Q18" i="3"/>
  <c r="AE18" i="3"/>
  <c r="BO18" i="3"/>
  <c r="BO50" i="3"/>
  <c r="AE50" i="3"/>
  <c r="Q50" i="3"/>
  <c r="BC114" i="3"/>
  <c r="BC122" i="3"/>
  <c r="V23" i="3"/>
  <c r="V17" i="3"/>
  <c r="BR15" i="3"/>
  <c r="BR17" i="3" s="1"/>
  <c r="AT23" i="3"/>
  <c r="AT17" i="3"/>
  <c r="AH17" i="3"/>
  <c r="AH23" i="3"/>
  <c r="L33" i="3"/>
  <c r="L39" i="3"/>
  <c r="S25" i="3"/>
  <c r="BO17" i="3"/>
  <c r="X31" i="3"/>
  <c r="X25" i="3"/>
  <c r="BF23" i="3"/>
  <c r="J31" i="3"/>
  <c r="J25" i="3"/>
  <c r="Q26" i="3"/>
  <c r="BO26" i="3"/>
  <c r="AE26" i="3"/>
  <c r="Q74" i="3"/>
  <c r="BO42" i="3"/>
  <c r="AE42" i="3"/>
  <c r="Q42" i="3"/>
  <c r="AQ10" i="3"/>
  <c r="AC10" i="3"/>
  <c r="E12" i="5" s="1"/>
  <c r="AE58" i="3"/>
  <c r="Q58" i="3"/>
  <c r="N14" i="5" l="1"/>
  <c r="Q114" i="3"/>
  <c r="BR26" i="3"/>
  <c r="H79" i="4"/>
  <c r="H183" i="4"/>
  <c r="F196" i="4"/>
  <c r="H153" i="4"/>
  <c r="I153" i="4"/>
  <c r="I155" i="4" s="1"/>
  <c r="H127" i="4"/>
  <c r="F445" i="4"/>
  <c r="F241" i="4"/>
  <c r="H226" i="4"/>
  <c r="F269" i="4"/>
  <c r="F318" i="4"/>
  <c r="H275" i="4"/>
  <c r="H161" i="4"/>
  <c r="F204" i="4"/>
  <c r="G161" i="4"/>
  <c r="G149" i="4"/>
  <c r="H149" i="4"/>
  <c r="E192" i="4"/>
  <c r="G145" i="4"/>
  <c r="E188" i="4"/>
  <c r="H234" i="4"/>
  <c r="F277" i="4"/>
  <c r="E199" i="4"/>
  <c r="G156" i="4"/>
  <c r="F421" i="4"/>
  <c r="E485" i="4"/>
  <c r="E571" i="4"/>
  <c r="G196" i="4"/>
  <c r="E239" i="4"/>
  <c r="H164" i="4"/>
  <c r="I164" i="4"/>
  <c r="F207" i="4"/>
  <c r="H84" i="4"/>
  <c r="E248" i="4"/>
  <c r="H147" i="4"/>
  <c r="F190" i="4"/>
  <c r="H116" i="4"/>
  <c r="F159" i="4"/>
  <c r="F200" i="4"/>
  <c r="F122" i="4"/>
  <c r="E330" i="4"/>
  <c r="E160" i="4"/>
  <c r="G117" i="4"/>
  <c r="G114" i="4"/>
  <c r="E157" i="4"/>
  <c r="H157" i="4" s="1"/>
  <c r="G229" i="4"/>
  <c r="E272" i="4"/>
  <c r="E150" i="4"/>
  <c r="E181" i="4"/>
  <c r="G138" i="4"/>
  <c r="H138" i="4"/>
  <c r="G127" i="4"/>
  <c r="H142" i="4"/>
  <c r="F185" i="4"/>
  <c r="F150" i="4"/>
  <c r="E361" i="4"/>
  <c r="H225" i="4"/>
  <c r="F268" i="4"/>
  <c r="I267" i="4"/>
  <c r="I269" i="4" s="1"/>
  <c r="F310" i="4"/>
  <c r="F201" i="4"/>
  <c r="H158" i="4"/>
  <c r="G158" i="4"/>
  <c r="G163" i="4"/>
  <c r="E206" i="4"/>
  <c r="H163" i="4"/>
  <c r="H145" i="4"/>
  <c r="F188" i="4"/>
  <c r="F205" i="4"/>
  <c r="H162" i="4"/>
  <c r="G142" i="4"/>
  <c r="E185" i="4"/>
  <c r="H229" i="4"/>
  <c r="F272" i="4"/>
  <c r="F326" i="4"/>
  <c r="H283" i="4"/>
  <c r="G283" i="4"/>
  <c r="E290" i="4"/>
  <c r="G226" i="4"/>
  <c r="E269" i="4"/>
  <c r="F399" i="4"/>
  <c r="H356" i="4"/>
  <c r="G356" i="4"/>
  <c r="E277" i="4"/>
  <c r="G234" i="4"/>
  <c r="E155" i="4"/>
  <c r="G112" i="4"/>
  <c r="H112" i="4"/>
  <c r="E122" i="4"/>
  <c r="G147" i="4"/>
  <c r="E190" i="4"/>
  <c r="I278" i="4"/>
  <c r="F321" i="4"/>
  <c r="F160" i="4"/>
  <c r="H117" i="4"/>
  <c r="G164" i="4"/>
  <c r="E207" i="4"/>
  <c r="G225" i="4"/>
  <c r="E268" i="4"/>
  <c r="H156" i="4"/>
  <c r="F199" i="4"/>
  <c r="G116" i="4"/>
  <c r="E159" i="4"/>
  <c r="E316" i="4"/>
  <c r="G273" i="4"/>
  <c r="H273" i="4"/>
  <c r="H107" i="4"/>
  <c r="G113" i="3"/>
  <c r="G105" i="3"/>
  <c r="AE122" i="3"/>
  <c r="E34" i="3"/>
  <c r="BO114" i="3"/>
  <c r="J39" i="3"/>
  <c r="J33" i="3"/>
  <c r="AT31" i="3"/>
  <c r="AT25" i="3"/>
  <c r="G121" i="3"/>
  <c r="S121" i="3" s="1"/>
  <c r="S113" i="3"/>
  <c r="AE113" i="3" s="1"/>
  <c r="V31" i="3"/>
  <c r="V25" i="3"/>
  <c r="BR23" i="3"/>
  <c r="BR42" i="3"/>
  <c r="BF42" i="3"/>
  <c r="BA42" i="3" s="1"/>
  <c r="J50" i="3"/>
  <c r="BF31" i="3"/>
  <c r="BF25" i="3"/>
  <c r="BF95" i="3"/>
  <c r="BF89" i="3"/>
  <c r="AV33" i="3"/>
  <c r="AV39" i="3"/>
  <c r="L47" i="3"/>
  <c r="L41" i="3"/>
  <c r="AQ50" i="3"/>
  <c r="AO50" i="3" s="1"/>
  <c r="T13" i="5" s="1"/>
  <c r="AC50" i="3"/>
  <c r="AH31" i="3"/>
  <c r="AH25" i="3"/>
  <c r="X114" i="3"/>
  <c r="AJ33" i="3"/>
  <c r="AJ39" i="3"/>
  <c r="BH47" i="3"/>
  <c r="BH41" i="3"/>
  <c r="AO10" i="3"/>
  <c r="E13" i="5" s="1"/>
  <c r="E14" i="5" s="1"/>
  <c r="BT55" i="3"/>
  <c r="BT49" i="3"/>
  <c r="AC42" i="3"/>
  <c r="AQ42" i="3"/>
  <c r="AO42" i="3" s="1"/>
  <c r="Q13" i="5" s="1"/>
  <c r="X33" i="3"/>
  <c r="X39" i="3"/>
  <c r="S33" i="3"/>
  <c r="S41" i="3" s="1"/>
  <c r="S49" i="3" s="1"/>
  <c r="S57" i="3" s="1"/>
  <c r="S65" i="3" s="1"/>
  <c r="S73" i="3" s="1"/>
  <c r="S81" i="3" s="1"/>
  <c r="S89" i="3" s="1"/>
  <c r="S97" i="3" s="1"/>
  <c r="S105" i="3" s="1"/>
  <c r="BO25" i="3"/>
  <c r="BO33" i="3" s="1"/>
  <c r="BO41" i="3" s="1"/>
  <c r="BO49" i="3" s="1"/>
  <c r="BO57" i="3" s="1"/>
  <c r="BO65" i="3" s="1"/>
  <c r="BO73" i="3" s="1"/>
  <c r="BO81" i="3" s="1"/>
  <c r="BO89" i="3" s="1"/>
  <c r="BO97" i="3" s="1"/>
  <c r="BO105" i="3" s="1"/>
  <c r="AC26" i="3"/>
  <c r="AQ26" i="3"/>
  <c r="AO26" i="3" s="1"/>
  <c r="K13" i="5" s="1"/>
  <c r="K14" i="5" s="1"/>
  <c r="BR95" i="3"/>
  <c r="BR89" i="3"/>
  <c r="S31" i="3"/>
  <c r="S39" i="3" s="1"/>
  <c r="S47" i="3" s="1"/>
  <c r="S55" i="3" s="1"/>
  <c r="S63" i="3" s="1"/>
  <c r="S71" i="3" s="1"/>
  <c r="S79" i="3" s="1"/>
  <c r="S87" i="3" s="1"/>
  <c r="S95" i="3" s="1"/>
  <c r="S103" i="3" s="1"/>
  <c r="BO23" i="3"/>
  <c r="BO31" i="3" s="1"/>
  <c r="BO39" i="3" s="1"/>
  <c r="BO47" i="3" s="1"/>
  <c r="BO55" i="3" s="1"/>
  <c r="BO63" i="3" s="1"/>
  <c r="BO71" i="3" s="1"/>
  <c r="BO79" i="3" s="1"/>
  <c r="BO87" i="3" s="1"/>
  <c r="BO95" i="3" s="1"/>
  <c r="BO103" i="3" s="1"/>
  <c r="AQ58" i="3"/>
  <c r="AC58" i="3"/>
  <c r="AC18" i="3"/>
  <c r="AQ18" i="3"/>
  <c r="AO18" i="3" s="1"/>
  <c r="H13" i="5" s="1"/>
  <c r="H14" i="5" s="1"/>
  <c r="T14" i="5" l="1"/>
  <c r="U13" i="5"/>
  <c r="Q14" i="5"/>
  <c r="R13" i="5"/>
  <c r="O6" i="5"/>
  <c r="O11" i="5"/>
  <c r="O12" i="5"/>
  <c r="O13" i="5"/>
  <c r="L13" i="5"/>
  <c r="L6" i="5"/>
  <c r="L12" i="5"/>
  <c r="L11" i="5"/>
  <c r="I13" i="5"/>
  <c r="I6" i="5"/>
  <c r="I12" i="5"/>
  <c r="I11" i="5"/>
  <c r="I14" i="5" s="1"/>
  <c r="F6" i="5"/>
  <c r="F13" i="5"/>
  <c r="F11" i="5"/>
  <c r="F12" i="5"/>
  <c r="L34" i="3"/>
  <c r="BM34" i="3"/>
  <c r="BT34" i="3" s="1"/>
  <c r="AC114" i="3"/>
  <c r="AR12" i="5" s="1"/>
  <c r="I162" i="4"/>
  <c r="I163" i="4" s="1"/>
  <c r="I156" i="4"/>
  <c r="G150" i="4"/>
  <c r="F239" i="4"/>
  <c r="H196" i="4"/>
  <c r="H122" i="4"/>
  <c r="H204" i="4"/>
  <c r="F247" i="4"/>
  <c r="G204" i="4"/>
  <c r="F369" i="4"/>
  <c r="G326" i="4"/>
  <c r="H326" i="4"/>
  <c r="E198" i="4"/>
  <c r="G155" i="4"/>
  <c r="H155" i="4"/>
  <c r="E165" i="4"/>
  <c r="H272" i="4"/>
  <c r="F315" i="4"/>
  <c r="F364" i="4"/>
  <c r="F250" i="4"/>
  <c r="H207" i="4"/>
  <c r="H269" i="4"/>
  <c r="F312" i="4"/>
  <c r="E373" i="4"/>
  <c r="H205" i="4"/>
  <c r="F248" i="4"/>
  <c r="G248" i="4" s="1"/>
  <c r="F203" i="4"/>
  <c r="H160" i="4"/>
  <c r="E320" i="4"/>
  <c r="G277" i="4"/>
  <c r="F165" i="4"/>
  <c r="H318" i="4"/>
  <c r="F361" i="4"/>
  <c r="G361" i="4" s="1"/>
  <c r="H399" i="4"/>
  <c r="F442" i="4"/>
  <c r="G399" i="4"/>
  <c r="H159" i="4"/>
  <c r="F202" i="4"/>
  <c r="I270" i="4"/>
  <c r="I276" i="4"/>
  <c r="I277" i="4" s="1"/>
  <c r="E231" i="4"/>
  <c r="G188" i="4"/>
  <c r="G316" i="4"/>
  <c r="E359" i="4"/>
  <c r="H316" i="4"/>
  <c r="G159" i="4"/>
  <c r="E202" i="4"/>
  <c r="E242" i="4"/>
  <c r="G199" i="4"/>
  <c r="H201" i="4"/>
  <c r="F244" i="4"/>
  <c r="G201" i="4"/>
  <c r="F243" i="4"/>
  <c r="H185" i="4"/>
  <c r="F228" i="4"/>
  <c r="F193" i="4"/>
  <c r="H193" i="4" s="1"/>
  <c r="G239" i="4"/>
  <c r="E282" i="4"/>
  <c r="F233" i="4"/>
  <c r="H190" i="4"/>
  <c r="E333" i="4"/>
  <c r="G122" i="4"/>
  <c r="E203" i="4"/>
  <c r="G160" i="4"/>
  <c r="G192" i="4"/>
  <c r="E235" i="4"/>
  <c r="H192" i="4"/>
  <c r="E315" i="4"/>
  <c r="G272" i="4"/>
  <c r="E228" i="4"/>
  <c r="G185" i="4"/>
  <c r="H150" i="4"/>
  <c r="E233" i="4"/>
  <c r="G190" i="4"/>
  <c r="E311" i="4"/>
  <c r="G268" i="4"/>
  <c r="F311" i="4"/>
  <c r="H268" i="4"/>
  <c r="G207" i="4"/>
  <c r="E250" i="4"/>
  <c r="G206" i="4"/>
  <c r="E249" i="4"/>
  <c r="H206" i="4"/>
  <c r="E193" i="4"/>
  <c r="G181" i="4"/>
  <c r="H181" i="4"/>
  <c r="E224" i="4"/>
  <c r="G205" i="4"/>
  <c r="E528" i="4"/>
  <c r="F488" i="4"/>
  <c r="E404" i="4"/>
  <c r="F170" i="4"/>
  <c r="H199" i="4"/>
  <c r="F242" i="4"/>
  <c r="F353" i="4"/>
  <c r="F320" i="4"/>
  <c r="H277" i="4"/>
  <c r="E312" i="4"/>
  <c r="G269" i="4"/>
  <c r="E200" i="4"/>
  <c r="H200" i="4" s="1"/>
  <c r="G157" i="4"/>
  <c r="F231" i="4"/>
  <c r="H188" i="4"/>
  <c r="F284" i="4"/>
  <c r="E291" i="4"/>
  <c r="G318" i="4"/>
  <c r="E170" i="4"/>
  <c r="F464" i="4"/>
  <c r="AO58" i="3"/>
  <c r="BR97" i="3"/>
  <c r="BR103" i="3"/>
  <c r="BR105" i="3" s="1"/>
  <c r="BF97" i="3"/>
  <c r="BF103" i="3"/>
  <c r="BF105" i="3" s="1"/>
  <c r="E26" i="3"/>
  <c r="E18" i="3"/>
  <c r="E42" i="3"/>
  <c r="E50" i="3"/>
  <c r="AH39" i="3"/>
  <c r="AH33" i="3"/>
  <c r="BR31" i="3"/>
  <c r="BR25" i="3"/>
  <c r="AQ122" i="3"/>
  <c r="V33" i="3"/>
  <c r="V39" i="3"/>
  <c r="BH49" i="3"/>
  <c r="BH55" i="3"/>
  <c r="AE121" i="3"/>
  <c r="AQ113" i="3"/>
  <c r="AQ121" i="3" s="1"/>
  <c r="E10" i="3"/>
  <c r="BF33" i="3"/>
  <c r="BF39" i="3"/>
  <c r="X47" i="3"/>
  <c r="X41" i="3"/>
  <c r="AJ41" i="3"/>
  <c r="AJ47" i="3"/>
  <c r="L55" i="3"/>
  <c r="L49" i="3"/>
  <c r="AT33" i="3"/>
  <c r="AT39" i="3"/>
  <c r="Q122" i="3"/>
  <c r="AV47" i="3"/>
  <c r="AV41" i="3"/>
  <c r="BR50" i="3"/>
  <c r="BF50" i="3"/>
  <c r="BA50" i="3" s="1"/>
  <c r="J41" i="3"/>
  <c r="J47" i="3"/>
  <c r="BT57" i="3"/>
  <c r="BT63" i="3"/>
  <c r="J58" i="3"/>
  <c r="E58" i="3" l="1"/>
  <c r="W13" i="5"/>
  <c r="W14" i="5" s="1"/>
  <c r="U6" i="5"/>
  <c r="U12" i="5"/>
  <c r="U11" i="5"/>
  <c r="U14" i="5" s="1"/>
  <c r="R6" i="5"/>
  <c r="R12" i="5"/>
  <c r="R11" i="5"/>
  <c r="R14" i="5" s="1"/>
  <c r="O14" i="5"/>
  <c r="L14" i="5"/>
  <c r="F14" i="5"/>
  <c r="L50" i="3"/>
  <c r="BM50" i="3"/>
  <c r="BT50" i="3" s="1"/>
  <c r="L42" i="3"/>
  <c r="BM42" i="3"/>
  <c r="BT42" i="3" s="1"/>
  <c r="L26" i="3"/>
  <c r="BM26" i="3"/>
  <c r="BT26" i="3" s="1"/>
  <c r="L18" i="3"/>
  <c r="BM18" i="3"/>
  <c r="BT18" i="3" s="1"/>
  <c r="L10" i="3"/>
  <c r="BM10" i="3"/>
  <c r="F282" i="4"/>
  <c r="H239" i="4"/>
  <c r="G170" i="4"/>
  <c r="G165" i="4"/>
  <c r="G228" i="4"/>
  <c r="E271" i="4"/>
  <c r="H242" i="4"/>
  <c r="F285" i="4"/>
  <c r="E376" i="4"/>
  <c r="G198" i="4"/>
  <c r="E241" i="4"/>
  <c r="E256" i="4" s="1"/>
  <c r="H198" i="4"/>
  <c r="E208" i="4"/>
  <c r="E245" i="4"/>
  <c r="G202" i="4"/>
  <c r="H243" i="4"/>
  <c r="F286" i="4"/>
  <c r="G312" i="4"/>
  <c r="E355" i="4"/>
  <c r="H248" i="4"/>
  <c r="F291" i="4"/>
  <c r="H250" i="4"/>
  <c r="F293" i="4"/>
  <c r="G200" i="4"/>
  <c r="E243" i="4"/>
  <c r="H203" i="4"/>
  <c r="F246" i="4"/>
  <c r="G315" i="4"/>
  <c r="E358" i="4"/>
  <c r="F354" i="4"/>
  <c r="H311" i="4"/>
  <c r="E213" i="4"/>
  <c r="G359" i="4"/>
  <c r="E402" i="4"/>
  <c r="H359" i="4"/>
  <c r="G311" i="4"/>
  <c r="E354" i="4"/>
  <c r="F327" i="4"/>
  <c r="F531" i="4"/>
  <c r="F574" i="4"/>
  <c r="G249" i="4"/>
  <c r="E292" i="4"/>
  <c r="H249" i="4"/>
  <c r="E278" i="4"/>
  <c r="G235" i="4"/>
  <c r="H235" i="4"/>
  <c r="F404" i="4"/>
  <c r="G404" i="4" s="1"/>
  <c r="H361" i="4"/>
  <c r="F412" i="4"/>
  <c r="G369" i="4"/>
  <c r="H369" i="4"/>
  <c r="G233" i="4"/>
  <c r="E276" i="4"/>
  <c r="E416" i="4"/>
  <c r="F407" i="4"/>
  <c r="G224" i="4"/>
  <c r="E267" i="4"/>
  <c r="E236" i="4"/>
  <c r="H224" i="4"/>
  <c r="G320" i="4"/>
  <c r="E363" i="4"/>
  <c r="H170" i="4"/>
  <c r="H312" i="4"/>
  <c r="F355" i="4"/>
  <c r="G282" i="4"/>
  <c r="E325" i="4"/>
  <c r="F396" i="4"/>
  <c r="G231" i="4"/>
  <c r="E274" i="4"/>
  <c r="H165" i="4"/>
  <c r="H247" i="4"/>
  <c r="F290" i="4"/>
  <c r="G247" i="4"/>
  <c r="F245" i="4"/>
  <c r="H202" i="4"/>
  <c r="G193" i="4"/>
  <c r="H442" i="4"/>
  <c r="F485" i="4"/>
  <c r="G442" i="4"/>
  <c r="E447" i="4"/>
  <c r="F507" i="4"/>
  <c r="F274" i="4"/>
  <c r="H231" i="4"/>
  <c r="G250" i="4"/>
  <c r="E293" i="4"/>
  <c r="G242" i="4"/>
  <c r="E285" i="4"/>
  <c r="H315" i="4"/>
  <c r="F358" i="4"/>
  <c r="F271" i="4"/>
  <c r="H228" i="4"/>
  <c r="F236" i="4"/>
  <c r="H236" i="4" s="1"/>
  <c r="E334" i="4"/>
  <c r="H233" i="4"/>
  <c r="F276" i="4"/>
  <c r="H244" i="4"/>
  <c r="F287" i="4"/>
  <c r="G244" i="4"/>
  <c r="H320" i="4"/>
  <c r="F363" i="4"/>
  <c r="F208" i="4"/>
  <c r="H208" i="4" s="1"/>
  <c r="G203" i="4"/>
  <c r="E246" i="4"/>
  <c r="F213" i="4"/>
  <c r="H213" i="4" s="1"/>
  <c r="H282" i="4"/>
  <c r="L58" i="3"/>
  <c r="BH57" i="3"/>
  <c r="BH63" i="3"/>
  <c r="V47" i="3"/>
  <c r="V41" i="3"/>
  <c r="AV55" i="3"/>
  <c r="AV49" i="3"/>
  <c r="V122" i="3"/>
  <c r="AJ114" i="3"/>
  <c r="AC122" i="3"/>
  <c r="AH122" i="3" s="1"/>
  <c r="J49" i="3"/>
  <c r="J55" i="3"/>
  <c r="AJ55" i="3"/>
  <c r="AJ49" i="3"/>
  <c r="X55" i="3"/>
  <c r="X49" i="3"/>
  <c r="BR58" i="3"/>
  <c r="BF58" i="3"/>
  <c r="BA58" i="3" s="1"/>
  <c r="BM58" i="3" s="1"/>
  <c r="BT71" i="3"/>
  <c r="BT65" i="3"/>
  <c r="L57" i="3"/>
  <c r="L63" i="3"/>
  <c r="BF47" i="3"/>
  <c r="BF49" i="3" s="1"/>
  <c r="BF41" i="3"/>
  <c r="BR39" i="3"/>
  <c r="BR33" i="3"/>
  <c r="J66" i="3"/>
  <c r="AO66" i="3"/>
  <c r="Z13" i="5" s="1"/>
  <c r="AT47" i="3"/>
  <c r="AT41" i="3"/>
  <c r="AH47" i="3"/>
  <c r="AH41" i="3"/>
  <c r="Z14" i="5" l="1"/>
  <c r="AA13" i="5"/>
  <c r="X13" i="5"/>
  <c r="X6" i="5"/>
  <c r="X12" i="5"/>
  <c r="X11" i="5"/>
  <c r="BT58" i="3"/>
  <c r="BT10" i="3"/>
  <c r="F325" i="4"/>
  <c r="F368" i="4" s="1"/>
  <c r="I282" i="4"/>
  <c r="I284" i="4" s="1"/>
  <c r="H245" i="4"/>
  <c r="F288" i="4"/>
  <c r="F294" i="4" s="1"/>
  <c r="F314" i="4"/>
  <c r="H271" i="4"/>
  <c r="F279" i="4"/>
  <c r="E419" i="4"/>
  <c r="F251" i="4"/>
  <c r="F329" i="4"/>
  <c r="H291" i="4"/>
  <c r="F334" i="4"/>
  <c r="F401" i="4"/>
  <c r="H358" i="4"/>
  <c r="E401" i="4"/>
  <c r="G358" i="4"/>
  <c r="G325" i="4"/>
  <c r="E368" i="4"/>
  <c r="G354" i="4"/>
  <c r="E397" i="4"/>
  <c r="H285" i="4"/>
  <c r="F328" i="4"/>
  <c r="F319" i="4"/>
  <c r="H276" i="4"/>
  <c r="H355" i="4"/>
  <c r="F398" i="4"/>
  <c r="G278" i="4"/>
  <c r="E321" i="4"/>
  <c r="H278" i="4"/>
  <c r="G243" i="4"/>
  <c r="E286" i="4"/>
  <c r="F317" i="4"/>
  <c r="H274" i="4"/>
  <c r="H412" i="4"/>
  <c r="F455" i="4"/>
  <c r="G412" i="4"/>
  <c r="H287" i="4"/>
  <c r="F330" i="4"/>
  <c r="G287" i="4"/>
  <c r="E279" i="4"/>
  <c r="G267" i="4"/>
  <c r="E310" i="4"/>
  <c r="H267" i="4"/>
  <c r="E289" i="4"/>
  <c r="G246" i="4"/>
  <c r="F528" i="4"/>
  <c r="H485" i="4"/>
  <c r="G485" i="4"/>
  <c r="F571" i="4"/>
  <c r="G245" i="4"/>
  <c r="E288" i="4"/>
  <c r="G271" i="4"/>
  <c r="E314" i="4"/>
  <c r="G236" i="4"/>
  <c r="F370" i="4"/>
  <c r="H368" i="4"/>
  <c r="F411" i="4"/>
  <c r="G334" i="4"/>
  <c r="E377" i="4"/>
  <c r="G274" i="4"/>
  <c r="E317" i="4"/>
  <c r="E319" i="4"/>
  <c r="G276" i="4"/>
  <c r="E335" i="4"/>
  <c r="G292" i="4"/>
  <c r="H292" i="4"/>
  <c r="E445" i="4"/>
  <c r="G402" i="4"/>
  <c r="H402" i="4"/>
  <c r="G208" i="4"/>
  <c r="F439" i="4"/>
  <c r="I396" i="4"/>
  <c r="I398" i="4" s="1"/>
  <c r="G355" i="4"/>
  <c r="E398" i="4"/>
  <c r="I407" i="4"/>
  <c r="F450" i="4"/>
  <c r="H325" i="4"/>
  <c r="E328" i="4"/>
  <c r="G285" i="4"/>
  <c r="G291" i="4"/>
  <c r="G293" i="4"/>
  <c r="E336" i="4"/>
  <c r="E406" i="4"/>
  <c r="G363" i="4"/>
  <c r="H293" i="4"/>
  <c r="I293" i="4"/>
  <c r="F336" i="4"/>
  <c r="F333" i="4"/>
  <c r="H290" i="4"/>
  <c r="G290" i="4"/>
  <c r="H354" i="4"/>
  <c r="F397" i="4"/>
  <c r="F550" i="4"/>
  <c r="F593" i="4"/>
  <c r="H404" i="4"/>
  <c r="F447" i="4"/>
  <c r="E490" i="4"/>
  <c r="E576" i="4"/>
  <c r="H246" i="4"/>
  <c r="F289" i="4"/>
  <c r="F299" i="4" s="1"/>
  <c r="E459" i="4"/>
  <c r="H363" i="4"/>
  <c r="F406" i="4"/>
  <c r="F256" i="4"/>
  <c r="H256" i="4" s="1"/>
  <c r="G213" i="4"/>
  <c r="G241" i="4"/>
  <c r="E284" i="4"/>
  <c r="E251" i="4"/>
  <c r="H241" i="4"/>
  <c r="L71" i="3"/>
  <c r="L65" i="3"/>
  <c r="AT55" i="3"/>
  <c r="AT49" i="3"/>
  <c r="BT79" i="3"/>
  <c r="BT73" i="3"/>
  <c r="J63" i="3"/>
  <c r="J57" i="3"/>
  <c r="E66" i="3"/>
  <c r="BF66" i="3"/>
  <c r="BA66" i="3" s="1"/>
  <c r="BR66" i="3"/>
  <c r="AV57" i="3"/>
  <c r="AV63" i="3"/>
  <c r="J74" i="3"/>
  <c r="AO74" i="3"/>
  <c r="X57" i="3"/>
  <c r="X63" i="3"/>
  <c r="V55" i="3"/>
  <c r="V49" i="3"/>
  <c r="BR47" i="3"/>
  <c r="BR49" i="3" s="1"/>
  <c r="BR41" i="3"/>
  <c r="BH71" i="3"/>
  <c r="BH65" i="3"/>
  <c r="AH55" i="3"/>
  <c r="AH49" i="3"/>
  <c r="AJ57" i="3"/>
  <c r="AJ63" i="3"/>
  <c r="E74" i="3" l="1"/>
  <c r="AC13" i="5"/>
  <c r="AA6" i="5"/>
  <c r="AA11" i="5"/>
  <c r="AA12" i="5"/>
  <c r="X14" i="5"/>
  <c r="L66" i="3"/>
  <c r="BM66" i="3"/>
  <c r="G279" i="4"/>
  <c r="G251" i="4"/>
  <c r="G256" i="4"/>
  <c r="I285" i="4"/>
  <c r="I291" i="4"/>
  <c r="I292" i="4" s="1"/>
  <c r="E444" i="4"/>
  <c r="G401" i="4"/>
  <c r="G328" i="4"/>
  <c r="E371" i="4"/>
  <c r="G310" i="4"/>
  <c r="E353" i="4"/>
  <c r="E322" i="4"/>
  <c r="G322" i="4" s="1"/>
  <c r="H310" i="4"/>
  <c r="E462" i="4"/>
  <c r="F493" i="4"/>
  <c r="H279" i="4"/>
  <c r="E329" i="4"/>
  <c r="G286" i="4"/>
  <c r="H328" i="4"/>
  <c r="F371" i="4"/>
  <c r="F444" i="4"/>
  <c r="H401" i="4"/>
  <c r="E360" i="4"/>
  <c r="G317" i="4"/>
  <c r="E502" i="4"/>
  <c r="E331" i="4"/>
  <c r="G288" i="4"/>
  <c r="G397" i="4"/>
  <c r="E440" i="4"/>
  <c r="H314" i="4"/>
  <c r="F357" i="4"/>
  <c r="F322" i="4"/>
  <c r="F490" i="4"/>
  <c r="H447" i="4"/>
  <c r="H319" i="4"/>
  <c r="F362" i="4"/>
  <c r="H397" i="4"/>
  <c r="F440" i="4"/>
  <c r="G284" i="4"/>
  <c r="E327" i="4"/>
  <c r="E342" i="4" s="1"/>
  <c r="H284" i="4"/>
  <c r="E294" i="4"/>
  <c r="G294" i="4" s="1"/>
  <c r="F454" i="4"/>
  <c r="H411" i="4"/>
  <c r="I411" i="4"/>
  <c r="I413" i="4" s="1"/>
  <c r="H330" i="4"/>
  <c r="F373" i="4"/>
  <c r="G330" i="4"/>
  <c r="H334" i="4"/>
  <c r="F377" i="4"/>
  <c r="G289" i="4"/>
  <c r="E332" i="4"/>
  <c r="F379" i="4"/>
  <c r="H336" i="4"/>
  <c r="F360" i="4"/>
  <c r="H317" i="4"/>
  <c r="E364" i="4"/>
  <c r="G321" i="4"/>
  <c r="H321" i="4"/>
  <c r="F331" i="4"/>
  <c r="H288" i="4"/>
  <c r="E299" i="4"/>
  <c r="G299" i="4" s="1"/>
  <c r="G406" i="4"/>
  <c r="E449" i="4"/>
  <c r="G336" i="4"/>
  <c r="E379" i="4"/>
  <c r="I405" i="4"/>
  <c r="I406" i="4" s="1"/>
  <c r="I399" i="4"/>
  <c r="H528" i="4"/>
  <c r="G528" i="4"/>
  <c r="G368" i="4"/>
  <c r="E411" i="4"/>
  <c r="H286" i="4"/>
  <c r="H406" i="4"/>
  <c r="F449" i="4"/>
  <c r="G314" i="4"/>
  <c r="E357" i="4"/>
  <c r="H571" i="4"/>
  <c r="G571" i="4"/>
  <c r="E441" i="4"/>
  <c r="G398" i="4"/>
  <c r="E533" i="4"/>
  <c r="G490" i="4"/>
  <c r="G335" i="4"/>
  <c r="E378" i="4"/>
  <c r="H335" i="4"/>
  <c r="F372" i="4"/>
  <c r="F413" i="4"/>
  <c r="G319" i="4"/>
  <c r="E362" i="4"/>
  <c r="E420" i="4"/>
  <c r="G377" i="4"/>
  <c r="E488" i="4"/>
  <c r="G445" i="4"/>
  <c r="H445" i="4"/>
  <c r="H289" i="4"/>
  <c r="F332" i="4"/>
  <c r="G447" i="4"/>
  <c r="H333" i="4"/>
  <c r="F376" i="4"/>
  <c r="G333" i="4"/>
  <c r="F482" i="4"/>
  <c r="F568" i="4"/>
  <c r="G455" i="4"/>
  <c r="H455" i="4"/>
  <c r="F498" i="4"/>
  <c r="F441" i="4"/>
  <c r="H398" i="4"/>
  <c r="H251" i="4"/>
  <c r="L74" i="3"/>
  <c r="V63" i="3"/>
  <c r="V57" i="3"/>
  <c r="X71" i="3"/>
  <c r="X65" i="3"/>
  <c r="J71" i="3"/>
  <c r="J65" i="3"/>
  <c r="AJ71" i="3"/>
  <c r="AJ65" i="3"/>
  <c r="BF74" i="3"/>
  <c r="BA74" i="3" s="1"/>
  <c r="BM74" i="3" s="1"/>
  <c r="BR74" i="3"/>
  <c r="BT81" i="3"/>
  <c r="BT87" i="3"/>
  <c r="J82" i="3"/>
  <c r="AO82" i="3"/>
  <c r="AF13" i="5" s="1"/>
  <c r="AH57" i="3"/>
  <c r="AH63" i="3"/>
  <c r="AV65" i="3"/>
  <c r="AV71" i="3"/>
  <c r="AT63" i="3"/>
  <c r="AT57" i="3"/>
  <c r="BH79" i="3"/>
  <c r="BH73" i="3"/>
  <c r="L73" i="3"/>
  <c r="L79" i="3"/>
  <c r="AA14" i="5" l="1"/>
  <c r="BT74" i="3"/>
  <c r="BT66" i="3"/>
  <c r="G357" i="4"/>
  <c r="E400" i="4"/>
  <c r="F487" i="4"/>
  <c r="H444" i="4"/>
  <c r="F573" i="4"/>
  <c r="H449" i="4"/>
  <c r="F492" i="4"/>
  <c r="F578" i="4"/>
  <c r="G342" i="4"/>
  <c r="F541" i="4"/>
  <c r="H498" i="4"/>
  <c r="G498" i="4"/>
  <c r="F584" i="4"/>
  <c r="G353" i="4"/>
  <c r="E396" i="4"/>
  <c r="E365" i="4"/>
  <c r="H353" i="4"/>
  <c r="G379" i="4"/>
  <c r="E422" i="4"/>
  <c r="H379" i="4"/>
  <c r="F422" i="4"/>
  <c r="F375" i="4"/>
  <c r="H332" i="4"/>
  <c r="F533" i="4"/>
  <c r="H533" i="4" s="1"/>
  <c r="H490" i="4"/>
  <c r="F576" i="4"/>
  <c r="E545" i="4"/>
  <c r="E588" i="4"/>
  <c r="E372" i="4"/>
  <c r="G329" i="4"/>
  <c r="G378" i="4"/>
  <c r="E421" i="4"/>
  <c r="H378" i="4"/>
  <c r="I420" i="4"/>
  <c r="I421" i="4" s="1"/>
  <c r="I414" i="4"/>
  <c r="G331" i="4"/>
  <c r="E374" i="4"/>
  <c r="F342" i="4"/>
  <c r="H342" i="4" s="1"/>
  <c r="E414" i="4"/>
  <c r="G371" i="4"/>
  <c r="H362" i="4"/>
  <c r="F405" i="4"/>
  <c r="G411" i="4"/>
  <c r="E454" i="4"/>
  <c r="H322" i="4"/>
  <c r="G360" i="4"/>
  <c r="E403" i="4"/>
  <c r="H294" i="4"/>
  <c r="E505" i="4"/>
  <c r="E591" i="4" s="1"/>
  <c r="F497" i="4"/>
  <c r="E375" i="4"/>
  <c r="G332" i="4"/>
  <c r="F456" i="4"/>
  <c r="I568" i="4"/>
  <c r="I570" i="4" s="1"/>
  <c r="F415" i="4"/>
  <c r="G441" i="4"/>
  <c r="E484" i="4"/>
  <c r="E570" i="4"/>
  <c r="E370" i="4"/>
  <c r="G327" i="4"/>
  <c r="H327" i="4"/>
  <c r="E337" i="4"/>
  <c r="H357" i="4"/>
  <c r="F400" i="4"/>
  <c r="F365" i="4"/>
  <c r="H365" i="4" s="1"/>
  <c r="H440" i="4"/>
  <c r="F483" i="4"/>
  <c r="H371" i="4"/>
  <c r="F414" i="4"/>
  <c r="H441" i="4"/>
  <c r="F484" i="4"/>
  <c r="F570" i="4" s="1"/>
  <c r="H570" i="4" s="1"/>
  <c r="H377" i="4"/>
  <c r="F420" i="4"/>
  <c r="G420" i="4" s="1"/>
  <c r="H331" i="4"/>
  <c r="F374" i="4"/>
  <c r="F380" i="4" s="1"/>
  <c r="F525" i="4"/>
  <c r="G488" i="4"/>
  <c r="E531" i="4"/>
  <c r="H488" i="4"/>
  <c r="E574" i="4"/>
  <c r="H329" i="4"/>
  <c r="H299" i="4"/>
  <c r="F536" i="4"/>
  <c r="F579" i="4"/>
  <c r="E487" i="4"/>
  <c r="G444" i="4"/>
  <c r="E483" i="4"/>
  <c r="E569" i="4" s="1"/>
  <c r="G569" i="4" s="1"/>
  <c r="G440" i="4"/>
  <c r="E463" i="4"/>
  <c r="H360" i="4"/>
  <c r="F403" i="4"/>
  <c r="F419" i="4"/>
  <c r="H376" i="4"/>
  <c r="G376" i="4"/>
  <c r="G362" i="4"/>
  <c r="E405" i="4"/>
  <c r="G449" i="4"/>
  <c r="E492" i="4"/>
  <c r="F337" i="4"/>
  <c r="H337" i="4" s="1"/>
  <c r="G364" i="4"/>
  <c r="E407" i="4"/>
  <c r="H364" i="4"/>
  <c r="F416" i="4"/>
  <c r="H373" i="4"/>
  <c r="G373" i="4"/>
  <c r="F569" i="4"/>
  <c r="BT95" i="3"/>
  <c r="BT89" i="3"/>
  <c r="BH87" i="3"/>
  <c r="BH81" i="3"/>
  <c r="AT71" i="3"/>
  <c r="AT65" i="3"/>
  <c r="AV79" i="3"/>
  <c r="AV73" i="3"/>
  <c r="AJ79" i="3"/>
  <c r="AJ73" i="3"/>
  <c r="AH71" i="3"/>
  <c r="AH65" i="3"/>
  <c r="J79" i="3"/>
  <c r="J73" i="3"/>
  <c r="E82" i="3"/>
  <c r="X79" i="3"/>
  <c r="X73" i="3"/>
  <c r="L87" i="3"/>
  <c r="L81" i="3"/>
  <c r="J90" i="3"/>
  <c r="AO90" i="3"/>
  <c r="BR82" i="3"/>
  <c r="BF82" i="3"/>
  <c r="BA82" i="3" s="1"/>
  <c r="V71" i="3"/>
  <c r="V65" i="3"/>
  <c r="E90" i="3" l="1"/>
  <c r="AI13" i="5"/>
  <c r="L82" i="3"/>
  <c r="BM82" i="3"/>
  <c r="G533" i="4"/>
  <c r="F446" i="4"/>
  <c r="H403" i="4"/>
  <c r="I571" i="4"/>
  <c r="I577" i="4"/>
  <c r="I578" i="4" s="1"/>
  <c r="H492" i="4"/>
  <c r="F535" i="4"/>
  <c r="E417" i="4"/>
  <c r="G374" i="4"/>
  <c r="H576" i="4"/>
  <c r="G576" i="4"/>
  <c r="G365" i="4"/>
  <c r="H400" i="4"/>
  <c r="F443" i="4"/>
  <c r="F408" i="4"/>
  <c r="G372" i="4"/>
  <c r="E415" i="4"/>
  <c r="H569" i="4"/>
  <c r="G531" i="4"/>
  <c r="H531" i="4"/>
  <c r="G403" i="4"/>
  <c r="E446" i="4"/>
  <c r="E526" i="4"/>
  <c r="G483" i="4"/>
  <c r="H414" i="4"/>
  <c r="F457" i="4"/>
  <c r="G370" i="4"/>
  <c r="E413" i="4"/>
  <c r="E380" i="4"/>
  <c r="G380" i="4" s="1"/>
  <c r="H370" i="4"/>
  <c r="F499" i="4"/>
  <c r="F585" i="4"/>
  <c r="G396" i="4"/>
  <c r="E439" i="4"/>
  <c r="E408" i="4"/>
  <c r="H396" i="4"/>
  <c r="G574" i="4"/>
  <c r="H574" i="4"/>
  <c r="E465" i="4"/>
  <c r="G422" i="4"/>
  <c r="G405" i="4"/>
  <c r="E448" i="4"/>
  <c r="E530" i="4"/>
  <c r="G487" i="4"/>
  <c r="E573" i="4"/>
  <c r="G573" i="4" s="1"/>
  <c r="F530" i="4"/>
  <c r="H530" i="4" s="1"/>
  <c r="H487" i="4"/>
  <c r="G337" i="4"/>
  <c r="H484" i="4"/>
  <c r="F527" i="4"/>
  <c r="F526" i="4"/>
  <c r="H483" i="4"/>
  <c r="G484" i="4"/>
  <c r="E527" i="4"/>
  <c r="G527" i="4" s="1"/>
  <c r="E418" i="4"/>
  <c r="G375" i="4"/>
  <c r="E497" i="4"/>
  <c r="H497" i="4" s="1"/>
  <c r="G454" i="4"/>
  <c r="E385" i="4"/>
  <c r="E443" i="4"/>
  <c r="G400" i="4"/>
  <c r="E506" i="4"/>
  <c r="H584" i="4"/>
  <c r="G584" i="4"/>
  <c r="H541" i="4"/>
  <c r="G541" i="4"/>
  <c r="E535" i="4"/>
  <c r="G492" i="4"/>
  <c r="E578" i="4"/>
  <c r="G578" i="4" s="1"/>
  <c r="G570" i="4"/>
  <c r="I579" i="4"/>
  <c r="G407" i="4"/>
  <c r="E450" i="4"/>
  <c r="H407" i="4"/>
  <c r="F462" i="4"/>
  <c r="H419" i="4"/>
  <c r="G419" i="4"/>
  <c r="F417" i="4"/>
  <c r="F423" i="4" s="1"/>
  <c r="H374" i="4"/>
  <c r="F458" i="4"/>
  <c r="H415" i="4"/>
  <c r="H454" i="4"/>
  <c r="E464" i="4"/>
  <c r="G421" i="4"/>
  <c r="H421" i="4"/>
  <c r="F418" i="4"/>
  <c r="H375" i="4"/>
  <c r="E548" i="4"/>
  <c r="H420" i="4"/>
  <c r="F463" i="4"/>
  <c r="G414" i="4"/>
  <c r="E457" i="4"/>
  <c r="H416" i="4"/>
  <c r="F459" i="4"/>
  <c r="G416" i="4"/>
  <c r="F385" i="4"/>
  <c r="H385" i="4" s="1"/>
  <c r="H372" i="4"/>
  <c r="F540" i="4"/>
  <c r="F583" i="4"/>
  <c r="F448" i="4"/>
  <c r="H405" i="4"/>
  <c r="H422" i="4"/>
  <c r="I422" i="4"/>
  <c r="F465" i="4"/>
  <c r="J106" i="3"/>
  <c r="AO106" i="3"/>
  <c r="BT97" i="3"/>
  <c r="BT103" i="3"/>
  <c r="BT105" i="3" s="1"/>
  <c r="L90" i="3"/>
  <c r="AH79" i="3"/>
  <c r="AH73" i="3"/>
  <c r="BR90" i="3"/>
  <c r="BF90" i="3"/>
  <c r="BA90" i="3" s="1"/>
  <c r="AJ81" i="3"/>
  <c r="AJ87" i="3"/>
  <c r="L95" i="3"/>
  <c r="L103" i="3" s="1"/>
  <c r="L105" i="3" s="1"/>
  <c r="L89" i="3"/>
  <c r="AV87" i="3"/>
  <c r="AV81" i="3"/>
  <c r="X87" i="3"/>
  <c r="X81" i="3"/>
  <c r="AT79" i="3"/>
  <c r="AT73" i="3"/>
  <c r="BH95" i="3"/>
  <c r="BH89" i="3"/>
  <c r="J98" i="3"/>
  <c r="AO98" i="3"/>
  <c r="J114" i="3"/>
  <c r="V79" i="3"/>
  <c r="V73" i="3"/>
  <c r="J81" i="3"/>
  <c r="J87" i="3"/>
  <c r="E106" i="3" l="1"/>
  <c r="AO13" i="5"/>
  <c r="E98" i="3"/>
  <c r="AL13" i="5"/>
  <c r="AO114" i="3"/>
  <c r="AR13" i="5" s="1"/>
  <c r="BM90" i="3"/>
  <c r="BT90" i="3" s="1"/>
  <c r="BT82" i="3"/>
  <c r="H535" i="4"/>
  <c r="H526" i="4"/>
  <c r="F428" i="4"/>
  <c r="H380" i="4"/>
  <c r="G408" i="4"/>
  <c r="E460" i="4"/>
  <c r="G417" i="4"/>
  <c r="G530" i="4"/>
  <c r="H408" i="4"/>
  <c r="E456" i="4"/>
  <c r="G413" i="4"/>
  <c r="H413" i="4"/>
  <c r="E423" i="4"/>
  <c r="G423" i="4" s="1"/>
  <c r="E428" i="4"/>
  <c r="G428" i="4" s="1"/>
  <c r="H443" i="4"/>
  <c r="F486" i="4"/>
  <c r="F451" i="4"/>
  <c r="H578" i="4"/>
  <c r="G450" i="4"/>
  <c r="E493" i="4"/>
  <c r="H450" i="4"/>
  <c r="E579" i="4"/>
  <c r="H463" i="4"/>
  <c r="F506" i="4"/>
  <c r="G506" i="4" s="1"/>
  <c r="F592" i="4"/>
  <c r="E482" i="4"/>
  <c r="G439" i="4"/>
  <c r="E451" i="4"/>
  <c r="G451" i="4" s="1"/>
  <c r="H439" i="4"/>
  <c r="F542" i="4"/>
  <c r="G526" i="4"/>
  <c r="F500" i="4"/>
  <c r="H457" i="4"/>
  <c r="E491" i="4"/>
  <c r="G448" i="4"/>
  <c r="H418" i="4"/>
  <c r="F461" i="4"/>
  <c r="G385" i="4"/>
  <c r="G446" i="4"/>
  <c r="E489" i="4"/>
  <c r="E575" i="4"/>
  <c r="H573" i="4"/>
  <c r="F501" i="4"/>
  <c r="F460" i="4"/>
  <c r="F471" i="4" s="1"/>
  <c r="H417" i="4"/>
  <c r="H459" i="4"/>
  <c r="F502" i="4"/>
  <c r="G459" i="4"/>
  <c r="H462" i="4"/>
  <c r="F505" i="4"/>
  <c r="F591" i="4"/>
  <c r="G462" i="4"/>
  <c r="E508" i="4"/>
  <c r="G465" i="4"/>
  <c r="G415" i="4"/>
  <c r="E458" i="4"/>
  <c r="H458" i="4" s="1"/>
  <c r="E549" i="4"/>
  <c r="E592" i="4"/>
  <c r="H465" i="4"/>
  <c r="F508" i="4"/>
  <c r="G463" i="4"/>
  <c r="G443" i="4"/>
  <c r="E486" i="4"/>
  <c r="H527" i="4"/>
  <c r="H446" i="4"/>
  <c r="F489" i="4"/>
  <c r="G418" i="4"/>
  <c r="E461" i="4"/>
  <c r="G535" i="4"/>
  <c r="H448" i="4"/>
  <c r="F491" i="4"/>
  <c r="I583" i="4"/>
  <c r="I585" i="4" s="1"/>
  <c r="E500" i="4"/>
  <c r="G457" i="4"/>
  <c r="G464" i="4"/>
  <c r="E507" i="4"/>
  <c r="H464" i="4"/>
  <c r="E593" i="4"/>
  <c r="G497" i="4"/>
  <c r="E540" i="4"/>
  <c r="H540" i="4" s="1"/>
  <c r="E583" i="4"/>
  <c r="L106" i="3"/>
  <c r="L98" i="3"/>
  <c r="BH97" i="3"/>
  <c r="BH103" i="3"/>
  <c r="BH105" i="3" s="1"/>
  <c r="BR106" i="3"/>
  <c r="BF106" i="3"/>
  <c r="BA106" i="3" s="1"/>
  <c r="BM106" i="3" s="1"/>
  <c r="X95" i="3"/>
  <c r="X89" i="3"/>
  <c r="V81" i="3"/>
  <c r="V87" i="3"/>
  <c r="AV95" i="3"/>
  <c r="AV89" i="3"/>
  <c r="BR114" i="3"/>
  <c r="BJ7" i="5" s="1"/>
  <c r="BF114" i="3"/>
  <c r="L97" i="3"/>
  <c r="L111" i="3"/>
  <c r="BR98" i="3"/>
  <c r="BF98" i="3"/>
  <c r="BA98" i="3" s="1"/>
  <c r="BM98" i="3" s="1"/>
  <c r="AJ95" i="3"/>
  <c r="AJ89" i="3"/>
  <c r="J95" i="3"/>
  <c r="J103" i="3" s="1"/>
  <c r="J105" i="3" s="1"/>
  <c r="J89" i="3"/>
  <c r="AT81" i="3"/>
  <c r="AT87" i="3"/>
  <c r="AH81" i="3"/>
  <c r="AH87" i="3"/>
  <c r="AO14" i="5" l="1"/>
  <c r="AP13" i="5" s="1"/>
  <c r="AL14" i="5"/>
  <c r="AM13" i="5"/>
  <c r="BT106" i="3"/>
  <c r="BT98" i="3"/>
  <c r="BA114" i="3"/>
  <c r="BA122" i="3" s="1"/>
  <c r="BF122" i="3" s="1"/>
  <c r="BM114" i="3"/>
  <c r="H592" i="4"/>
  <c r="F551" i="4"/>
  <c r="H508" i="4"/>
  <c r="F594" i="4"/>
  <c r="I592" i="4"/>
  <c r="I593" i="4" s="1"/>
  <c r="I586" i="4"/>
  <c r="G579" i="4"/>
  <c r="H579" i="4"/>
  <c r="E499" i="4"/>
  <c r="E585" i="4" s="1"/>
  <c r="G456" i="4"/>
  <c r="E466" i="4"/>
  <c r="H456" i="4"/>
  <c r="F544" i="4"/>
  <c r="F587" i="4"/>
  <c r="E550" i="4"/>
  <c r="G507" i="4"/>
  <c r="H507" i="4"/>
  <c r="E551" i="4"/>
  <c r="G551" i="4" s="1"/>
  <c r="G508" i="4"/>
  <c r="E534" i="4"/>
  <c r="G491" i="4"/>
  <c r="E577" i="4"/>
  <c r="G593" i="4"/>
  <c r="H593" i="4"/>
  <c r="H502" i="4"/>
  <c r="F545" i="4"/>
  <c r="G502" i="4"/>
  <c r="F588" i="4"/>
  <c r="H591" i="4"/>
  <c r="G591" i="4"/>
  <c r="H471" i="4"/>
  <c r="H428" i="4"/>
  <c r="H423" i="4"/>
  <c r="H505" i="4"/>
  <c r="F548" i="4"/>
  <c r="G505" i="4"/>
  <c r="G489" i="4"/>
  <c r="E532" i="4"/>
  <c r="G458" i="4"/>
  <c r="E501" i="4"/>
  <c r="E587" i="4"/>
  <c r="G587" i="4" s="1"/>
  <c r="H451" i="4"/>
  <c r="H506" i="4"/>
  <c r="F549" i="4"/>
  <c r="H549" i="4" s="1"/>
  <c r="H491" i="4"/>
  <c r="F534" i="4"/>
  <c r="F577" i="4"/>
  <c r="G592" i="4"/>
  <c r="G493" i="4"/>
  <c r="E536" i="4"/>
  <c r="H493" i="4"/>
  <c r="G486" i="4"/>
  <c r="E529" i="4"/>
  <c r="G529" i="4" s="1"/>
  <c r="E572" i="4"/>
  <c r="E594" i="4"/>
  <c r="G594" i="4" s="1"/>
  <c r="F504" i="4"/>
  <c r="H461" i="4"/>
  <c r="E525" i="4"/>
  <c r="E568" i="4" s="1"/>
  <c r="G482" i="4"/>
  <c r="E494" i="4"/>
  <c r="H482" i="4"/>
  <c r="H486" i="4"/>
  <c r="F529" i="4"/>
  <c r="F494" i="4"/>
  <c r="H494" i="4" s="1"/>
  <c r="F572" i="4"/>
  <c r="G460" i="4"/>
  <c r="E503" i="4"/>
  <c r="E589" i="4"/>
  <c r="G540" i="4"/>
  <c r="F543" i="4"/>
  <c r="H543" i="4" s="1"/>
  <c r="H500" i="4"/>
  <c r="F586" i="4"/>
  <c r="E504" i="4"/>
  <c r="G461" i="4"/>
  <c r="F532" i="4"/>
  <c r="H489" i="4"/>
  <c r="F575" i="4"/>
  <c r="H575" i="4" s="1"/>
  <c r="G500" i="4"/>
  <c r="E543" i="4"/>
  <c r="E586" i="4"/>
  <c r="G583" i="4"/>
  <c r="H583" i="4"/>
  <c r="H460" i="4"/>
  <c r="F503" i="4"/>
  <c r="F466" i="4"/>
  <c r="E471" i="4"/>
  <c r="G471" i="4" s="1"/>
  <c r="AJ97" i="3"/>
  <c r="AJ103" i="3"/>
  <c r="AJ105" i="3" s="1"/>
  <c r="X97" i="3"/>
  <c r="X103" i="3"/>
  <c r="X105" i="3" s="1"/>
  <c r="AV97" i="3"/>
  <c r="AV103" i="3"/>
  <c r="AV105" i="3" s="1"/>
  <c r="L113" i="3"/>
  <c r="X111" i="3"/>
  <c r="AH95" i="3"/>
  <c r="AH89" i="3"/>
  <c r="AT95" i="3"/>
  <c r="AT89" i="3"/>
  <c r="J97" i="3"/>
  <c r="J111" i="3"/>
  <c r="V95" i="3"/>
  <c r="V89" i="3"/>
  <c r="AO122" i="3"/>
  <c r="AV114" i="3"/>
  <c r="E114" i="3"/>
  <c r="L114" i="3" s="1"/>
  <c r="AP12" i="5" l="1"/>
  <c r="AP6" i="5"/>
  <c r="AP11" i="5"/>
  <c r="AP14" i="5" s="1"/>
  <c r="AM6" i="5"/>
  <c r="AM11" i="5"/>
  <c r="AM12" i="5"/>
  <c r="BM122" i="3"/>
  <c r="BR122" i="3" s="1"/>
  <c r="BE7" i="5"/>
  <c r="BL7" i="5" s="1"/>
  <c r="BT114" i="3"/>
  <c r="BH114" i="3"/>
  <c r="G577" i="4"/>
  <c r="G534" i="4"/>
  <c r="G572" i="4"/>
  <c r="H466" i="4"/>
  <c r="G532" i="4"/>
  <c r="G499" i="4"/>
  <c r="E542" i="4"/>
  <c r="H499" i="4"/>
  <c r="E509" i="4"/>
  <c r="G509" i="4" s="1"/>
  <c r="H544" i="4"/>
  <c r="H586" i="4"/>
  <c r="G568" i="4"/>
  <c r="E580" i="4"/>
  <c r="H568" i="4"/>
  <c r="H529" i="4"/>
  <c r="F537" i="4"/>
  <c r="E544" i="4"/>
  <c r="G544" i="4" s="1"/>
  <c r="G501" i="4"/>
  <c r="F546" i="4"/>
  <c r="H503" i="4"/>
  <c r="F589" i="4"/>
  <c r="H589" i="4" s="1"/>
  <c r="G586" i="4"/>
  <c r="G543" i="4"/>
  <c r="G589" i="4"/>
  <c r="E514" i="4"/>
  <c r="G549" i="4"/>
  <c r="H545" i="4"/>
  <c r="G545" i="4"/>
  <c r="G550" i="4"/>
  <c r="H550" i="4"/>
  <c r="G504" i="4"/>
  <c r="E547" i="4"/>
  <c r="G536" i="4"/>
  <c r="H536" i="4"/>
  <c r="E546" i="4"/>
  <c r="G546" i="4" s="1"/>
  <c r="G503" i="4"/>
  <c r="G525" i="4"/>
  <c r="E537" i="4"/>
  <c r="H525" i="4"/>
  <c r="G575" i="4"/>
  <c r="I594" i="4"/>
  <c r="H594" i="4"/>
  <c r="G466" i="4"/>
  <c r="G494" i="4"/>
  <c r="E590" i="4"/>
  <c r="H577" i="4"/>
  <c r="H587" i="4"/>
  <c r="F514" i="4"/>
  <c r="H514" i="4" s="1"/>
  <c r="F509" i="4"/>
  <c r="G585" i="4"/>
  <c r="H585" i="4"/>
  <c r="H588" i="4"/>
  <c r="G588" i="4"/>
  <c r="H532" i="4"/>
  <c r="H572" i="4"/>
  <c r="F580" i="4"/>
  <c r="H504" i="4"/>
  <c r="F547" i="4"/>
  <c r="H547" i="4" s="1"/>
  <c r="F590" i="4"/>
  <c r="H534" i="4"/>
  <c r="H548" i="4"/>
  <c r="G548" i="4"/>
  <c r="H501" i="4"/>
  <c r="H551" i="4"/>
  <c r="AH97" i="3"/>
  <c r="AH103" i="3"/>
  <c r="AH105" i="3" s="1"/>
  <c r="AT97" i="3"/>
  <c r="AT103" i="3"/>
  <c r="AT105" i="3" s="1"/>
  <c r="V97" i="3"/>
  <c r="V103" i="3"/>
  <c r="V105" i="3" s="1"/>
  <c r="J113" i="3"/>
  <c r="V111" i="3"/>
  <c r="AT122" i="3"/>
  <c r="E122" i="3"/>
  <c r="J122" i="3" s="1"/>
  <c r="X113" i="3"/>
  <c r="AJ111" i="3"/>
  <c r="AM14" i="5" l="1"/>
  <c r="F600" i="4"/>
  <c r="G590" i="4"/>
  <c r="F557" i="4"/>
  <c r="G537" i="4"/>
  <c r="G580" i="4"/>
  <c r="E600" i="4"/>
  <c r="G600" i="4" s="1"/>
  <c r="F552" i="4"/>
  <c r="H580" i="4"/>
  <c r="G608" i="4"/>
  <c r="G547" i="4"/>
  <c r="F595" i="4"/>
  <c r="H600" i="4"/>
  <c r="G542" i="4"/>
  <c r="H542" i="4"/>
  <c r="E552" i="4"/>
  <c r="H509" i="4"/>
  <c r="H537" i="4"/>
  <c r="H546" i="4"/>
  <c r="H590" i="4"/>
  <c r="E557" i="4"/>
  <c r="G557" i="4" s="1"/>
  <c r="G514" i="4"/>
  <c r="E595" i="4"/>
  <c r="AV111" i="3"/>
  <c r="AV113" i="3" s="1"/>
  <c r="AJ113" i="3"/>
  <c r="V113" i="3"/>
  <c r="AH111" i="3"/>
  <c r="G552" i="4" l="1"/>
  <c r="F609" i="4"/>
  <c r="D608" i="4"/>
  <c r="G595" i="4"/>
  <c r="G613" i="4"/>
  <c r="H595" i="4"/>
  <c r="H552" i="4"/>
  <c r="H557" i="4"/>
  <c r="AH113" i="3"/>
  <c r="AT111" i="3"/>
  <c r="F614" i="4" l="1"/>
  <c r="D613" i="4"/>
  <c r="D618" i="4" s="1"/>
  <c r="G618" i="4" s="1"/>
  <c r="F619" i="4" s="1"/>
  <c r="BF111" i="3"/>
  <c r="AT113" i="3"/>
  <c r="BF113" i="3" l="1"/>
  <c r="BR111" i="3"/>
  <c r="BR113" i="3" s="1"/>
  <c r="Q263" i="1" l="1"/>
  <c r="Q262" i="1"/>
  <c r="Q261" i="1"/>
  <c r="Q260" i="1"/>
  <c r="Q259" i="1"/>
  <c r="Q258" i="1"/>
  <c r="Q257" i="1"/>
  <c r="Q254" i="1"/>
  <c r="Q253" i="1"/>
  <c r="Q252" i="1"/>
  <c r="Q251" i="1"/>
  <c r="Q250" i="1"/>
  <c r="Q249" i="1"/>
  <c r="Q248" i="1"/>
  <c r="Q245" i="1"/>
  <c r="Q244" i="1"/>
  <c r="Q243" i="1"/>
  <c r="Q242" i="1"/>
  <c r="Q241" i="1"/>
  <c r="Q240" i="1"/>
  <c r="Q239" i="1"/>
  <c r="Q236" i="1"/>
  <c r="Q235" i="1"/>
  <c r="Q234" i="1"/>
  <c r="Q233" i="1"/>
  <c r="Q232" i="1"/>
  <c r="Q231" i="1"/>
  <c r="Q230" i="1"/>
  <c r="Q227" i="1"/>
  <c r="Q226" i="1"/>
  <c r="Q225" i="1"/>
  <c r="Q224" i="1"/>
  <c r="Q223" i="1"/>
  <c r="Q222" i="1"/>
  <c r="Q221" i="1"/>
  <c r="Q218" i="1"/>
  <c r="Q217" i="1"/>
  <c r="Q216" i="1"/>
  <c r="Q215" i="1"/>
  <c r="Q214" i="1"/>
  <c r="Q213" i="1"/>
  <c r="Q212" i="1"/>
  <c r="Q209" i="1"/>
  <c r="Q208" i="1"/>
  <c r="Q207" i="1"/>
  <c r="Q206" i="1"/>
  <c r="Q205" i="1"/>
  <c r="Q204" i="1"/>
  <c r="Q203" i="1"/>
  <c r="Q199" i="1"/>
  <c r="Q198" i="1"/>
  <c r="Q197" i="1"/>
  <c r="Q196" i="1"/>
  <c r="Q195" i="1"/>
  <c r="Q194" i="1"/>
  <c r="Q193" i="1"/>
  <c r="Q190" i="1"/>
  <c r="Q189" i="1"/>
  <c r="Q188" i="1"/>
  <c r="Q187" i="1"/>
  <c r="Q186" i="1"/>
  <c r="Q185" i="1"/>
  <c r="Q184" i="1"/>
  <c r="Q181" i="1"/>
  <c r="Q180" i="1"/>
  <c r="Q179" i="1"/>
  <c r="Q178" i="1"/>
  <c r="Q177" i="1"/>
  <c r="Q176" i="1"/>
  <c r="Q175" i="1"/>
  <c r="Q172" i="1"/>
  <c r="Q171" i="1"/>
  <c r="Q170" i="1"/>
  <c r="Q169" i="1"/>
  <c r="Q168" i="1"/>
  <c r="Q167" i="1"/>
  <c r="Q166" i="1"/>
  <c r="Q163" i="1"/>
  <c r="Q162" i="1"/>
  <c r="Q161" i="1"/>
  <c r="Q160" i="1"/>
  <c r="Q159" i="1"/>
  <c r="Q158" i="1"/>
  <c r="Q157" i="1"/>
  <c r="Q154" i="1"/>
  <c r="Q153" i="1"/>
  <c r="Q152" i="1"/>
  <c r="Q151" i="1"/>
  <c r="Q150" i="1"/>
  <c r="Q149" i="1"/>
  <c r="Q148" i="1"/>
  <c r="Q145" i="1"/>
  <c r="Q144" i="1"/>
  <c r="Q143" i="1"/>
  <c r="Q142" i="1"/>
  <c r="Q141" i="1"/>
  <c r="Q140" i="1"/>
  <c r="Q139" i="1"/>
  <c r="Q135" i="1"/>
  <c r="Q134" i="1"/>
  <c r="Q133" i="1"/>
  <c r="Q132" i="1"/>
  <c r="Q131" i="1"/>
  <c r="Q130" i="1"/>
  <c r="Q129" i="1"/>
  <c r="Q126" i="1"/>
  <c r="Q125" i="1"/>
  <c r="Q124" i="1"/>
  <c r="Q123" i="1"/>
  <c r="Q122" i="1"/>
  <c r="Q121" i="1"/>
  <c r="Q120" i="1"/>
  <c r="Q117" i="1"/>
  <c r="Q116" i="1"/>
  <c r="Q115" i="1"/>
  <c r="Q114" i="1"/>
  <c r="Q113" i="1"/>
  <c r="Q112" i="1"/>
  <c r="Q111" i="1"/>
  <c r="Q108" i="1"/>
  <c r="Q107" i="1"/>
  <c r="Q106" i="1"/>
  <c r="Q105" i="1"/>
  <c r="Q104" i="1"/>
  <c r="Q103" i="1"/>
  <c r="Q102" i="1"/>
  <c r="Q99" i="1"/>
  <c r="Q98" i="1"/>
  <c r="Q97" i="1"/>
  <c r="Q96" i="1"/>
  <c r="Q95" i="1"/>
  <c r="Q94" i="1"/>
  <c r="Q93" i="1"/>
  <c r="Q90" i="1"/>
  <c r="Q89" i="1"/>
  <c r="Q88" i="1"/>
  <c r="Q87" i="1"/>
  <c r="Q86" i="1"/>
  <c r="Q85" i="1"/>
  <c r="Q84" i="1"/>
  <c r="Q81" i="1"/>
  <c r="Q80" i="1"/>
  <c r="Q79" i="1"/>
  <c r="Q78" i="1"/>
  <c r="Q77" i="1"/>
  <c r="Q76" i="1"/>
  <c r="Q75" i="1"/>
  <c r="Q71" i="1"/>
  <c r="Q70" i="1"/>
  <c r="Q69" i="1"/>
  <c r="Q68" i="1"/>
  <c r="Q67" i="1"/>
  <c r="Q66" i="1"/>
  <c r="Q65" i="1"/>
  <c r="Q62" i="1"/>
  <c r="Q61" i="1"/>
  <c r="Q60" i="1"/>
  <c r="Q59" i="1"/>
  <c r="Q58" i="1"/>
  <c r="Q57" i="1"/>
  <c r="Q56" i="1"/>
  <c r="Q53" i="1"/>
  <c r="Q52" i="1"/>
  <c r="Q51" i="1"/>
  <c r="Q50" i="1"/>
  <c r="Q49" i="1"/>
  <c r="Q48" i="1"/>
  <c r="Q47" i="1"/>
  <c r="Q44" i="1"/>
  <c r="Q43" i="1"/>
  <c r="Q42" i="1"/>
  <c r="Q41" i="1"/>
  <c r="Q40" i="1"/>
  <c r="Q39" i="1"/>
  <c r="Q38" i="1"/>
  <c r="Q35" i="1"/>
  <c r="Q34" i="1"/>
  <c r="Q33" i="1"/>
  <c r="Q32" i="1"/>
  <c r="Q31" i="1"/>
  <c r="Q30" i="1"/>
  <c r="Q29" i="1"/>
  <c r="Q26" i="1"/>
  <c r="Q25" i="1"/>
  <c r="Q24" i="1"/>
  <c r="Q23" i="1"/>
  <c r="Q22" i="1"/>
  <c r="Q21" i="1"/>
  <c r="Q20" i="1"/>
  <c r="Q13" i="1"/>
  <c r="Q14" i="1"/>
  <c r="Q15" i="1"/>
  <c r="Q16" i="1"/>
  <c r="Q17" i="1"/>
  <c r="Q12" i="1"/>
  <c r="Q11" i="1"/>
  <c r="E12" i="2"/>
  <c r="F12" i="2"/>
  <c r="G12" i="2"/>
  <c r="H12" i="2"/>
  <c r="I12" i="2"/>
  <c r="J12" i="2"/>
  <c r="K12" i="2"/>
  <c r="L12" i="2"/>
  <c r="M12" i="2"/>
  <c r="N12" i="2"/>
  <c r="O12" i="2"/>
  <c r="P12" i="2"/>
  <c r="E13" i="2"/>
  <c r="F13" i="2"/>
  <c r="G13" i="2"/>
  <c r="H13" i="2"/>
  <c r="I13" i="2"/>
  <c r="J13" i="2"/>
  <c r="K13" i="2"/>
  <c r="L13" i="2"/>
  <c r="M13" i="2"/>
  <c r="N13" i="2"/>
  <c r="O13" i="2"/>
  <c r="P13" i="2"/>
  <c r="E14" i="2"/>
  <c r="F14" i="2"/>
  <c r="G14" i="2"/>
  <c r="H14" i="2"/>
  <c r="I14" i="2"/>
  <c r="J14" i="2"/>
  <c r="K14" i="2"/>
  <c r="L14" i="2"/>
  <c r="M14" i="2"/>
  <c r="N14" i="2"/>
  <c r="O14" i="2"/>
  <c r="P14" i="2"/>
  <c r="E15" i="2"/>
  <c r="F15" i="2"/>
  <c r="G15" i="2"/>
  <c r="H15" i="2"/>
  <c r="I15" i="2"/>
  <c r="J15" i="2"/>
  <c r="K15" i="2"/>
  <c r="L15" i="2"/>
  <c r="M15" i="2"/>
  <c r="N15" i="2"/>
  <c r="O15" i="2"/>
  <c r="P15" i="2"/>
  <c r="E16" i="2"/>
  <c r="F16" i="2"/>
  <c r="G16" i="2"/>
  <c r="H16" i="2"/>
  <c r="I16" i="2"/>
  <c r="J16" i="2"/>
  <c r="K16" i="2"/>
  <c r="L16" i="2"/>
  <c r="M16" i="2"/>
  <c r="N16" i="2"/>
  <c r="O16" i="2"/>
  <c r="P16" i="2"/>
  <c r="E17" i="2"/>
  <c r="F17" i="2"/>
  <c r="G17" i="2"/>
  <c r="H17" i="2"/>
  <c r="I17" i="2"/>
  <c r="J17" i="2"/>
  <c r="K17" i="2"/>
  <c r="L17" i="2"/>
  <c r="M17" i="2"/>
  <c r="N17" i="2"/>
  <c r="O17" i="2"/>
  <c r="P17" i="2"/>
  <c r="D12" i="2"/>
  <c r="D13" i="2"/>
  <c r="D14" i="2"/>
  <c r="D15" i="2"/>
  <c r="D16" i="2"/>
  <c r="D17" i="2"/>
  <c r="D11" i="2"/>
  <c r="E11" i="2"/>
  <c r="F11" i="2"/>
  <c r="G11" i="2"/>
  <c r="H11" i="2"/>
  <c r="I11" i="2"/>
  <c r="J11" i="2"/>
  <c r="K11" i="2"/>
  <c r="L11" i="2"/>
  <c r="M11" i="2"/>
  <c r="N11" i="2"/>
  <c r="O11" i="2"/>
  <c r="P11" i="2"/>
  <c r="C13" i="2"/>
  <c r="C14" i="2"/>
  <c r="C15" i="2"/>
  <c r="C16" i="2"/>
  <c r="C17" i="2"/>
  <c r="C18" i="2"/>
  <c r="C12" i="2"/>
  <c r="C11" i="2"/>
  <c r="Q9" i="2"/>
  <c r="P8" i="2"/>
  <c r="O8" i="2"/>
  <c r="N8" i="2"/>
  <c r="M8" i="2"/>
  <c r="L8" i="2"/>
  <c r="K8" i="2"/>
  <c r="J8" i="2"/>
  <c r="I8" i="2"/>
  <c r="H8" i="2"/>
  <c r="G8" i="2"/>
  <c r="F8" i="2"/>
  <c r="E8" i="2"/>
  <c r="D7" i="2"/>
  <c r="E7" i="2" s="1"/>
  <c r="F7" i="2" s="1"/>
  <c r="P6" i="2"/>
  <c r="O6" i="2"/>
  <c r="N6" i="2"/>
  <c r="M6" i="2"/>
  <c r="L6" i="2"/>
  <c r="K6" i="2"/>
  <c r="J6" i="2"/>
  <c r="I6" i="2"/>
  <c r="H6" i="2"/>
  <c r="G6" i="2"/>
  <c r="F6" i="2"/>
  <c r="E6" i="2"/>
  <c r="D6" i="2"/>
  <c r="P5" i="2"/>
  <c r="O5" i="2"/>
  <c r="N5" i="2"/>
  <c r="M5" i="2"/>
  <c r="L5" i="2"/>
  <c r="K5" i="2"/>
  <c r="J5" i="2"/>
  <c r="I5" i="2"/>
  <c r="H5" i="2"/>
  <c r="G5" i="2"/>
  <c r="F5" i="2"/>
  <c r="E5" i="2"/>
  <c r="D5" i="2"/>
  <c r="G9" i="2"/>
  <c r="F9" i="2"/>
  <c r="P9" i="2"/>
  <c r="O9" i="2"/>
  <c r="N9" i="2"/>
  <c r="M9" i="2"/>
  <c r="L9" i="2"/>
  <c r="K9" i="2"/>
  <c r="J9" i="2"/>
  <c r="I9" i="2"/>
  <c r="H9" i="2"/>
  <c r="E9" i="2"/>
  <c r="D9" i="2"/>
  <c r="C128" i="1"/>
  <c r="C192" i="1" s="1"/>
  <c r="C256" i="1" s="1"/>
  <c r="C119" i="1"/>
  <c r="C183" i="1" s="1"/>
  <c r="C247" i="1" s="1"/>
  <c r="C110" i="1"/>
  <c r="C174" i="1" s="1"/>
  <c r="C101" i="1"/>
  <c r="C165" i="1" s="1"/>
  <c r="C229" i="1" s="1"/>
  <c r="C92" i="1"/>
  <c r="C156" i="1" s="1"/>
  <c r="C220" i="1" s="1"/>
  <c r="C83" i="1"/>
  <c r="C147" i="1" s="1"/>
  <c r="C211" i="1" s="1"/>
  <c r="C74" i="1"/>
  <c r="C138" i="1" s="1"/>
  <c r="C202" i="1" s="1"/>
  <c r="E7" i="1"/>
  <c r="F7" i="1" s="1"/>
  <c r="G7" i="1" s="1"/>
  <c r="E8" i="1"/>
  <c r="P264" i="1"/>
  <c r="O264" i="1"/>
  <c r="N264" i="1"/>
  <c r="M264" i="1"/>
  <c r="L264" i="1"/>
  <c r="K264" i="1"/>
  <c r="J264" i="1"/>
  <c r="I264" i="1"/>
  <c r="H264" i="1"/>
  <c r="G264" i="1"/>
  <c r="F264" i="1"/>
  <c r="E264" i="1"/>
  <c r="D264" i="1"/>
  <c r="Q264" i="1" s="1"/>
  <c r="P255" i="1"/>
  <c r="O255" i="1"/>
  <c r="N255" i="1"/>
  <c r="M255" i="1"/>
  <c r="L255" i="1"/>
  <c r="K255" i="1"/>
  <c r="J255" i="1"/>
  <c r="I255" i="1"/>
  <c r="H255" i="1"/>
  <c r="G255" i="1"/>
  <c r="F255" i="1"/>
  <c r="E255" i="1"/>
  <c r="D255" i="1"/>
  <c r="Q255" i="1" s="1"/>
  <c r="P246" i="1"/>
  <c r="O246" i="1"/>
  <c r="N246" i="1"/>
  <c r="M246" i="1"/>
  <c r="L246" i="1"/>
  <c r="K246" i="1"/>
  <c r="J246" i="1"/>
  <c r="I246" i="1"/>
  <c r="H246" i="1"/>
  <c r="G246" i="1"/>
  <c r="F246" i="1"/>
  <c r="E246" i="1"/>
  <c r="D246" i="1"/>
  <c r="Q246" i="1" s="1"/>
  <c r="C238" i="1"/>
  <c r="P237" i="1"/>
  <c r="O237" i="1"/>
  <c r="N237" i="1"/>
  <c r="M237" i="1"/>
  <c r="L237" i="1"/>
  <c r="K237" i="1"/>
  <c r="J237" i="1"/>
  <c r="I237" i="1"/>
  <c r="H237" i="1"/>
  <c r="G237" i="1"/>
  <c r="F237" i="1"/>
  <c r="E237" i="1"/>
  <c r="D237" i="1"/>
  <c r="Q237" i="1" s="1"/>
  <c r="P228" i="1"/>
  <c r="O228" i="1"/>
  <c r="N228" i="1"/>
  <c r="M228" i="1"/>
  <c r="L228" i="1"/>
  <c r="K228" i="1"/>
  <c r="J228" i="1"/>
  <c r="I228" i="1"/>
  <c r="H228" i="1"/>
  <c r="G228" i="1"/>
  <c r="F228" i="1"/>
  <c r="E228" i="1"/>
  <c r="D228" i="1"/>
  <c r="Q228" i="1" s="1"/>
  <c r="P219" i="1"/>
  <c r="O219" i="1"/>
  <c r="N219" i="1"/>
  <c r="M219" i="1"/>
  <c r="L219" i="1"/>
  <c r="K219" i="1"/>
  <c r="J219" i="1"/>
  <c r="I219" i="1"/>
  <c r="H219" i="1"/>
  <c r="G219" i="1"/>
  <c r="F219" i="1"/>
  <c r="E219" i="1"/>
  <c r="D219" i="1"/>
  <c r="Q219" i="1" s="1"/>
  <c r="P210" i="1"/>
  <c r="O210" i="1"/>
  <c r="N210" i="1"/>
  <c r="M210" i="1"/>
  <c r="L210" i="1"/>
  <c r="K210" i="1"/>
  <c r="J210" i="1"/>
  <c r="I210" i="1"/>
  <c r="H210" i="1"/>
  <c r="G210" i="1"/>
  <c r="F210" i="1"/>
  <c r="E210" i="1"/>
  <c r="D210" i="1"/>
  <c r="Q210" i="1" s="1"/>
  <c r="P200" i="1"/>
  <c r="O200" i="1"/>
  <c r="N200" i="1"/>
  <c r="M200" i="1"/>
  <c r="L200" i="1"/>
  <c r="K200" i="1"/>
  <c r="J200" i="1"/>
  <c r="I200" i="1"/>
  <c r="H200" i="1"/>
  <c r="G200" i="1"/>
  <c r="F200" i="1"/>
  <c r="E200" i="1"/>
  <c r="D200" i="1"/>
  <c r="Q200" i="1" s="1"/>
  <c r="P191" i="1"/>
  <c r="O191" i="1"/>
  <c r="N191" i="1"/>
  <c r="M191" i="1"/>
  <c r="L191" i="1"/>
  <c r="K191" i="1"/>
  <c r="J191" i="1"/>
  <c r="I191" i="1"/>
  <c r="H191" i="1"/>
  <c r="G191" i="1"/>
  <c r="F191" i="1"/>
  <c r="E191" i="1"/>
  <c r="D191" i="1"/>
  <c r="Q191" i="1" s="1"/>
  <c r="P182" i="1"/>
  <c r="O182" i="1"/>
  <c r="N182" i="1"/>
  <c r="M182" i="1"/>
  <c r="L182" i="1"/>
  <c r="K182" i="1"/>
  <c r="J182" i="1"/>
  <c r="I182" i="1"/>
  <c r="H182" i="1"/>
  <c r="G182" i="1"/>
  <c r="F182" i="1"/>
  <c r="E182" i="1"/>
  <c r="D182" i="1"/>
  <c r="Q182" i="1" s="1"/>
  <c r="P173" i="1"/>
  <c r="O173" i="1"/>
  <c r="N173" i="1"/>
  <c r="M173" i="1"/>
  <c r="L173" i="1"/>
  <c r="K173" i="1"/>
  <c r="J173" i="1"/>
  <c r="I173" i="1"/>
  <c r="H173" i="1"/>
  <c r="G173" i="1"/>
  <c r="F173" i="1"/>
  <c r="E173" i="1"/>
  <c r="D173" i="1"/>
  <c r="Q173" i="1" s="1"/>
  <c r="P164" i="1"/>
  <c r="O164" i="1"/>
  <c r="N164" i="1"/>
  <c r="M164" i="1"/>
  <c r="L164" i="1"/>
  <c r="K164" i="1"/>
  <c r="J164" i="1"/>
  <c r="I164" i="1"/>
  <c r="H164" i="1"/>
  <c r="G164" i="1"/>
  <c r="F164" i="1"/>
  <c r="E164" i="1"/>
  <c r="D164" i="1"/>
  <c r="Q164" i="1" s="1"/>
  <c r="P155" i="1"/>
  <c r="O155" i="1"/>
  <c r="N155" i="1"/>
  <c r="M155" i="1"/>
  <c r="L155" i="1"/>
  <c r="K155" i="1"/>
  <c r="J155" i="1"/>
  <c r="I155" i="1"/>
  <c r="H155" i="1"/>
  <c r="G155" i="1"/>
  <c r="F155" i="1"/>
  <c r="E155" i="1"/>
  <c r="D155" i="1"/>
  <c r="Q155" i="1" s="1"/>
  <c r="P146" i="1"/>
  <c r="O146" i="1"/>
  <c r="N146" i="1"/>
  <c r="M146" i="1"/>
  <c r="L146" i="1"/>
  <c r="K146" i="1"/>
  <c r="J146" i="1"/>
  <c r="I146" i="1"/>
  <c r="H146" i="1"/>
  <c r="G146" i="1"/>
  <c r="F146" i="1"/>
  <c r="E146" i="1"/>
  <c r="D146" i="1"/>
  <c r="Q146" i="1" s="1"/>
  <c r="P136" i="1"/>
  <c r="O136" i="1"/>
  <c r="N136" i="1"/>
  <c r="M136" i="1"/>
  <c r="L136" i="1"/>
  <c r="K136" i="1"/>
  <c r="J136" i="1"/>
  <c r="I136" i="1"/>
  <c r="H136" i="1"/>
  <c r="G136" i="1"/>
  <c r="F136" i="1"/>
  <c r="E136" i="1"/>
  <c r="D136" i="1"/>
  <c r="Q136" i="1" s="1"/>
  <c r="P127" i="1"/>
  <c r="O127" i="1"/>
  <c r="N127" i="1"/>
  <c r="M127" i="1"/>
  <c r="L127" i="1"/>
  <c r="K127" i="1"/>
  <c r="J127" i="1"/>
  <c r="I127" i="1"/>
  <c r="H127" i="1"/>
  <c r="G127" i="1"/>
  <c r="F127" i="1"/>
  <c r="E127" i="1"/>
  <c r="D127" i="1"/>
  <c r="Q127" i="1" s="1"/>
  <c r="P118" i="1"/>
  <c r="O118" i="1"/>
  <c r="N118" i="1"/>
  <c r="M118" i="1"/>
  <c r="L118" i="1"/>
  <c r="K118" i="1"/>
  <c r="J118" i="1"/>
  <c r="I118" i="1"/>
  <c r="H118" i="1"/>
  <c r="G118" i="1"/>
  <c r="F118" i="1"/>
  <c r="E118" i="1"/>
  <c r="D118" i="1"/>
  <c r="Q118" i="1" s="1"/>
  <c r="P109" i="1"/>
  <c r="O109" i="1"/>
  <c r="N109" i="1"/>
  <c r="M109" i="1"/>
  <c r="L109" i="1"/>
  <c r="K109" i="1"/>
  <c r="J109" i="1"/>
  <c r="I109" i="1"/>
  <c r="H109" i="1"/>
  <c r="G109" i="1"/>
  <c r="F109" i="1"/>
  <c r="E109" i="1"/>
  <c r="D109" i="1"/>
  <c r="Q109" i="1" s="1"/>
  <c r="P100" i="1"/>
  <c r="O100" i="1"/>
  <c r="N100" i="1"/>
  <c r="M100" i="1"/>
  <c r="L100" i="1"/>
  <c r="K100" i="1"/>
  <c r="J100" i="1"/>
  <c r="I100" i="1"/>
  <c r="H100" i="1"/>
  <c r="G100" i="1"/>
  <c r="F100" i="1"/>
  <c r="E100" i="1"/>
  <c r="D100" i="1"/>
  <c r="Q100" i="1" s="1"/>
  <c r="P91" i="1"/>
  <c r="O91" i="1"/>
  <c r="N91" i="1"/>
  <c r="M91" i="1"/>
  <c r="L91" i="1"/>
  <c r="K91" i="1"/>
  <c r="J91" i="1"/>
  <c r="I91" i="1"/>
  <c r="H91" i="1"/>
  <c r="G91" i="1"/>
  <c r="F91" i="1"/>
  <c r="E91" i="1"/>
  <c r="D91" i="1"/>
  <c r="Q91" i="1" s="1"/>
  <c r="P82" i="1"/>
  <c r="O82" i="1"/>
  <c r="N82" i="1"/>
  <c r="M82" i="1"/>
  <c r="L82" i="1"/>
  <c r="K82" i="1"/>
  <c r="J82" i="1"/>
  <c r="I82" i="1"/>
  <c r="H82" i="1"/>
  <c r="G82" i="1"/>
  <c r="F82" i="1"/>
  <c r="E82" i="1"/>
  <c r="D82" i="1"/>
  <c r="Q82" i="1" s="1"/>
  <c r="P72" i="1"/>
  <c r="O72" i="1"/>
  <c r="N72" i="1"/>
  <c r="M72" i="1"/>
  <c r="L72" i="1"/>
  <c r="K72" i="1"/>
  <c r="J72" i="1"/>
  <c r="I72" i="1"/>
  <c r="H72" i="1"/>
  <c r="G72" i="1"/>
  <c r="F72" i="1"/>
  <c r="E72" i="1"/>
  <c r="D72" i="1"/>
  <c r="Q72" i="1" s="1"/>
  <c r="P63" i="1"/>
  <c r="O63" i="1"/>
  <c r="N63" i="1"/>
  <c r="M63" i="1"/>
  <c r="L63" i="1"/>
  <c r="K63" i="1"/>
  <c r="J63" i="1"/>
  <c r="I63" i="1"/>
  <c r="H63" i="1"/>
  <c r="G63" i="1"/>
  <c r="F63" i="1"/>
  <c r="E63" i="1"/>
  <c r="D63" i="1"/>
  <c r="Q63" i="1" s="1"/>
  <c r="P54" i="1"/>
  <c r="O54" i="1"/>
  <c r="N54" i="1"/>
  <c r="M54" i="1"/>
  <c r="L54" i="1"/>
  <c r="K54" i="1"/>
  <c r="J54" i="1"/>
  <c r="I54" i="1"/>
  <c r="H54" i="1"/>
  <c r="G54" i="1"/>
  <c r="F54" i="1"/>
  <c r="E54" i="1"/>
  <c r="D54" i="1"/>
  <c r="Q54" i="1" s="1"/>
  <c r="P45" i="1"/>
  <c r="O45" i="1"/>
  <c r="N45" i="1"/>
  <c r="M45" i="1"/>
  <c r="L45" i="1"/>
  <c r="K45" i="1"/>
  <c r="J45" i="1"/>
  <c r="I45" i="1"/>
  <c r="H45" i="1"/>
  <c r="G45" i="1"/>
  <c r="F45" i="1"/>
  <c r="E45" i="1"/>
  <c r="D45" i="1"/>
  <c r="Q45" i="1" s="1"/>
  <c r="P36" i="1"/>
  <c r="O36" i="1"/>
  <c r="N36" i="1"/>
  <c r="M36" i="1"/>
  <c r="L36" i="1"/>
  <c r="K36" i="1"/>
  <c r="J36" i="1"/>
  <c r="I36" i="1"/>
  <c r="H36" i="1"/>
  <c r="G36" i="1"/>
  <c r="F36" i="1"/>
  <c r="E36" i="1"/>
  <c r="D36" i="1"/>
  <c r="Q36" i="1" s="1"/>
  <c r="C36" i="1"/>
  <c r="C45" i="1" s="1"/>
  <c r="C54" i="1" s="1"/>
  <c r="C63" i="1" s="1"/>
  <c r="C72" i="1" s="1"/>
  <c r="C82" i="1" s="1"/>
  <c r="P27" i="1"/>
  <c r="O27" i="1"/>
  <c r="N27" i="1"/>
  <c r="M27" i="1"/>
  <c r="L27" i="1"/>
  <c r="K27" i="1"/>
  <c r="J27" i="1"/>
  <c r="I27" i="1"/>
  <c r="H27" i="1"/>
  <c r="G27" i="1"/>
  <c r="F27" i="1"/>
  <c r="E27" i="1"/>
  <c r="D27" i="1"/>
  <c r="Q27" i="1" s="1"/>
  <c r="C27" i="1"/>
  <c r="C26" i="1"/>
  <c r="C35" i="1" s="1"/>
  <c r="C44" i="1" s="1"/>
  <c r="C53" i="1" s="1"/>
  <c r="C62" i="1" s="1"/>
  <c r="C71" i="1" s="1"/>
  <c r="C81" i="1" s="1"/>
  <c r="C90" i="1" s="1"/>
  <c r="C99" i="1" s="1"/>
  <c r="C108" i="1" s="1"/>
  <c r="C117" i="1" s="1"/>
  <c r="C126" i="1" s="1"/>
  <c r="C135" i="1" s="1"/>
  <c r="C145" i="1" s="1"/>
  <c r="C154" i="1" s="1"/>
  <c r="C163" i="1" s="1"/>
  <c r="C172" i="1" s="1"/>
  <c r="C181" i="1" s="1"/>
  <c r="C190" i="1" s="1"/>
  <c r="C199" i="1" s="1"/>
  <c r="C209" i="1" s="1"/>
  <c r="C218" i="1" s="1"/>
  <c r="C227" i="1" s="1"/>
  <c r="C236" i="1" s="1"/>
  <c r="C245" i="1" s="1"/>
  <c r="C254" i="1" s="1"/>
  <c r="C263" i="1" s="1"/>
  <c r="C25" i="1"/>
  <c r="C34" i="1" s="1"/>
  <c r="C43" i="1" s="1"/>
  <c r="C52" i="1" s="1"/>
  <c r="C61" i="1" s="1"/>
  <c r="C70" i="1" s="1"/>
  <c r="C80" i="1" s="1"/>
  <c r="C89" i="1" s="1"/>
  <c r="C98" i="1" s="1"/>
  <c r="C107" i="1" s="1"/>
  <c r="C116" i="1" s="1"/>
  <c r="C125" i="1" s="1"/>
  <c r="C134" i="1" s="1"/>
  <c r="C144" i="1" s="1"/>
  <c r="C153" i="1" s="1"/>
  <c r="C162" i="1" s="1"/>
  <c r="C171" i="1" s="1"/>
  <c r="C180" i="1" s="1"/>
  <c r="C189" i="1" s="1"/>
  <c r="C198" i="1" s="1"/>
  <c r="C208" i="1" s="1"/>
  <c r="C217" i="1" s="1"/>
  <c r="C226" i="1" s="1"/>
  <c r="C235" i="1" s="1"/>
  <c r="C24" i="1"/>
  <c r="C33" i="1" s="1"/>
  <c r="C42" i="1" s="1"/>
  <c r="C51" i="1" s="1"/>
  <c r="C60" i="1" s="1"/>
  <c r="C69" i="1" s="1"/>
  <c r="C79" i="1" s="1"/>
  <c r="C88" i="1" s="1"/>
  <c r="C97" i="1" s="1"/>
  <c r="C106" i="1" s="1"/>
  <c r="C115" i="1" s="1"/>
  <c r="C124" i="1" s="1"/>
  <c r="C133" i="1" s="1"/>
  <c r="C143" i="1" s="1"/>
  <c r="C152" i="1" s="1"/>
  <c r="C161" i="1" s="1"/>
  <c r="C170" i="1" s="1"/>
  <c r="C179" i="1" s="1"/>
  <c r="C188" i="1" s="1"/>
  <c r="C197" i="1" s="1"/>
  <c r="C207" i="1" s="1"/>
  <c r="C216" i="1" s="1"/>
  <c r="C225" i="1" s="1"/>
  <c r="C234" i="1" s="1"/>
  <c r="C243" i="1" s="1"/>
  <c r="C252" i="1" s="1"/>
  <c r="C261" i="1" s="1"/>
  <c r="C23" i="1"/>
  <c r="C32" i="1" s="1"/>
  <c r="C41" i="1" s="1"/>
  <c r="C50" i="1" s="1"/>
  <c r="C59" i="1" s="1"/>
  <c r="C68" i="1" s="1"/>
  <c r="C78" i="1" s="1"/>
  <c r="C87" i="1" s="1"/>
  <c r="C96" i="1" s="1"/>
  <c r="C105" i="1" s="1"/>
  <c r="C114" i="1" s="1"/>
  <c r="C123" i="1" s="1"/>
  <c r="C132" i="1" s="1"/>
  <c r="C142" i="1" s="1"/>
  <c r="C151" i="1" s="1"/>
  <c r="C160" i="1" s="1"/>
  <c r="C169" i="1" s="1"/>
  <c r="C178" i="1" s="1"/>
  <c r="C187" i="1" s="1"/>
  <c r="C196" i="1" s="1"/>
  <c r="C206" i="1" s="1"/>
  <c r="C215" i="1" s="1"/>
  <c r="C224" i="1" s="1"/>
  <c r="C233" i="1" s="1"/>
  <c r="C242" i="1" s="1"/>
  <c r="C251" i="1" s="1"/>
  <c r="C260" i="1" s="1"/>
  <c r="C22" i="1"/>
  <c r="C31" i="1" s="1"/>
  <c r="C40" i="1" s="1"/>
  <c r="C49" i="1" s="1"/>
  <c r="C58" i="1" s="1"/>
  <c r="C67" i="1" s="1"/>
  <c r="C77" i="1" s="1"/>
  <c r="C86" i="1" s="1"/>
  <c r="C95" i="1" s="1"/>
  <c r="C104" i="1" s="1"/>
  <c r="C113" i="1" s="1"/>
  <c r="C21" i="1"/>
  <c r="C30" i="1" s="1"/>
  <c r="C39" i="1" s="1"/>
  <c r="C48" i="1" s="1"/>
  <c r="C57" i="1" s="1"/>
  <c r="C66" i="1" s="1"/>
  <c r="C76" i="1" s="1"/>
  <c r="C85" i="1" s="1"/>
  <c r="C94" i="1" s="1"/>
  <c r="C103" i="1" s="1"/>
  <c r="C112" i="1" s="1"/>
  <c r="C121" i="1" s="1"/>
  <c r="C130" i="1" s="1"/>
  <c r="C140" i="1" s="1"/>
  <c r="C149" i="1" s="1"/>
  <c r="C158" i="1" s="1"/>
  <c r="C167" i="1" s="1"/>
  <c r="C176" i="1" s="1"/>
  <c r="C185" i="1" s="1"/>
  <c r="C194" i="1" s="1"/>
  <c r="C204" i="1" s="1"/>
  <c r="C213" i="1" s="1"/>
  <c r="C222" i="1" s="1"/>
  <c r="C231" i="1" s="1"/>
  <c r="C240" i="1" s="1"/>
  <c r="C249" i="1" s="1"/>
  <c r="C258" i="1" s="1"/>
  <c r="C20" i="1"/>
  <c r="C29" i="1" s="1"/>
  <c r="C38" i="1" s="1"/>
  <c r="C47" i="1" s="1"/>
  <c r="C56" i="1" s="1"/>
  <c r="C65" i="1" s="1"/>
  <c r="C75" i="1" s="1"/>
  <c r="C84" i="1" s="1"/>
  <c r="C93" i="1" s="1"/>
  <c r="C102" i="1" s="1"/>
  <c r="C111" i="1" s="1"/>
  <c r="C120" i="1" s="1"/>
  <c r="C129" i="1" s="1"/>
  <c r="C139" i="1" s="1"/>
  <c r="C148" i="1" s="1"/>
  <c r="C157" i="1" s="1"/>
  <c r="C166" i="1" s="1"/>
  <c r="C175" i="1" s="1"/>
  <c r="C184" i="1" s="1"/>
  <c r="C193" i="1" s="1"/>
  <c r="C203" i="1" s="1"/>
  <c r="C212" i="1" s="1"/>
  <c r="C221" i="1" s="1"/>
  <c r="C230" i="1" s="1"/>
  <c r="C239" i="1" s="1"/>
  <c r="C248" i="1" s="1"/>
  <c r="C257" i="1" s="1"/>
  <c r="P18" i="1"/>
  <c r="O18" i="1"/>
  <c r="N18" i="1"/>
  <c r="M18" i="1"/>
  <c r="L18" i="1"/>
  <c r="K18" i="1"/>
  <c r="J18" i="1"/>
  <c r="I18" i="1"/>
  <c r="H18" i="1"/>
  <c r="G18" i="1"/>
  <c r="F18" i="1"/>
  <c r="E18" i="1"/>
  <c r="D18" i="1"/>
  <c r="Q18" i="1" s="1"/>
  <c r="E18" i="2" l="1"/>
  <c r="F18" i="2"/>
  <c r="G18" i="2"/>
  <c r="H18" i="2"/>
  <c r="Q13" i="2"/>
  <c r="M18" i="2"/>
  <c r="J18" i="2"/>
  <c r="Q16" i="2"/>
  <c r="D18" i="2"/>
  <c r="I18" i="2"/>
  <c r="Q12" i="2"/>
  <c r="P18" i="2"/>
  <c r="Q17" i="2"/>
  <c r="O18" i="2"/>
  <c r="Q14" i="2"/>
  <c r="L18" i="2"/>
  <c r="K18" i="2"/>
  <c r="N18" i="2"/>
  <c r="Q15" i="2"/>
  <c r="Q11" i="2"/>
  <c r="G7" i="2"/>
  <c r="D21" i="2"/>
  <c r="Q8" i="2"/>
  <c r="H7" i="1"/>
  <c r="C122" i="1"/>
  <c r="C131" i="1" s="1"/>
  <c r="C244" i="1"/>
  <c r="C253" i="1" s="1"/>
  <c r="C262" i="1" s="1"/>
  <c r="D267" i="1"/>
  <c r="D19" i="2" s="1"/>
  <c r="D23" i="2" s="1"/>
  <c r="K267" i="1"/>
  <c r="K19" i="2" s="1"/>
  <c r="J267" i="1"/>
  <c r="I267" i="1"/>
  <c r="M267" i="1"/>
  <c r="F267" i="1"/>
  <c r="F270" i="1" s="1"/>
  <c r="N267" i="1"/>
  <c r="N19" i="2" s="1"/>
  <c r="P267" i="1"/>
  <c r="P19" i="2" s="1"/>
  <c r="G267" i="1"/>
  <c r="G19" i="2" s="1"/>
  <c r="L267" i="1"/>
  <c r="L19" i="2" s="1"/>
  <c r="E267" i="1"/>
  <c r="E19" i="2" s="1"/>
  <c r="E23" i="2" s="1"/>
  <c r="O267" i="1"/>
  <c r="O19" i="2" s="1"/>
  <c r="H267" i="1"/>
  <c r="H19" i="2" s="1"/>
  <c r="F8" i="1"/>
  <c r="G8" i="1" s="1"/>
  <c r="H8" i="1" s="1"/>
  <c r="I8" i="1" s="1"/>
  <c r="J8" i="1" s="1"/>
  <c r="K8" i="1" s="1"/>
  <c r="L8" i="1" s="1"/>
  <c r="M8" i="1" s="1"/>
  <c r="N8" i="1" s="1"/>
  <c r="O8" i="1" s="1"/>
  <c r="P8" i="1" s="1"/>
  <c r="C100" i="1"/>
  <c r="C109" i="1" s="1"/>
  <c r="C118" i="1" s="1"/>
  <c r="C127" i="1" s="1"/>
  <c r="C136" i="1" s="1"/>
  <c r="C146" i="1" s="1"/>
  <c r="C91" i="1"/>
  <c r="E268" i="1" l="1"/>
  <c r="Q8" i="1"/>
  <c r="E21" i="2"/>
  <c r="G21" i="2"/>
  <c r="J268" i="1"/>
  <c r="J19" i="2"/>
  <c r="I268" i="1"/>
  <c r="I19" i="2"/>
  <c r="H271" i="1"/>
  <c r="E270" i="1"/>
  <c r="E271" i="1"/>
  <c r="F268" i="1"/>
  <c r="F19" i="2"/>
  <c r="G271" i="1"/>
  <c r="G270" i="1"/>
  <c r="M268" i="1"/>
  <c r="M19" i="2"/>
  <c r="F271" i="1"/>
  <c r="G23" i="2"/>
  <c r="H7" i="2"/>
  <c r="D271" i="1"/>
  <c r="D270" i="1"/>
  <c r="I7" i="1"/>
  <c r="I271" i="1" s="1"/>
  <c r="H270" i="1"/>
  <c r="C141" i="1"/>
  <c r="C150" i="1" s="1"/>
  <c r="C159" i="1" s="1"/>
  <c r="C168" i="1" s="1"/>
  <c r="C177" i="1" s="1"/>
  <c r="C186" i="1" s="1"/>
  <c r="C195" i="1" s="1"/>
  <c r="C205" i="1" s="1"/>
  <c r="C214" i="1" s="1"/>
  <c r="C223" i="1" s="1"/>
  <c r="C232" i="1" s="1"/>
  <c r="C241" i="1" s="1"/>
  <c r="C250" i="1" s="1"/>
  <c r="C259" i="1" s="1"/>
  <c r="H268" i="1"/>
  <c r="O268" i="1"/>
  <c r="L268" i="1"/>
  <c r="P268" i="1"/>
  <c r="N268" i="1"/>
  <c r="G268" i="1"/>
  <c r="K268" i="1"/>
  <c r="Q267" i="1"/>
  <c r="D268" i="1"/>
  <c r="C164" i="1"/>
  <c r="C155" i="1"/>
  <c r="Q19" i="2" l="1"/>
  <c r="O10" i="2" s="1"/>
  <c r="Q268" i="1"/>
  <c r="F23" i="2"/>
  <c r="F21" i="2"/>
  <c r="L10" i="2"/>
  <c r="J10" i="2"/>
  <c r="P10" i="2"/>
  <c r="G10" i="2"/>
  <c r="D10" i="2"/>
  <c r="H10" i="2"/>
  <c r="I10" i="2"/>
  <c r="M10" i="2"/>
  <c r="N10" i="2"/>
  <c r="E10" i="2"/>
  <c r="F10" i="2"/>
  <c r="K10" i="2"/>
  <c r="I7" i="2"/>
  <c r="H23" i="2"/>
  <c r="H21" i="2"/>
  <c r="S260" i="1"/>
  <c r="S244" i="1"/>
  <c r="S230" i="1"/>
  <c r="S214" i="1"/>
  <c r="S197" i="1"/>
  <c r="S181" i="1"/>
  <c r="S167" i="1"/>
  <c r="S151" i="1"/>
  <c r="S134" i="1"/>
  <c r="S120" i="1"/>
  <c r="S104" i="1"/>
  <c r="S88" i="1"/>
  <c r="S71" i="1"/>
  <c r="S57" i="1"/>
  <c r="S41" i="1"/>
  <c r="S25" i="1"/>
  <c r="S11" i="1"/>
  <c r="S68" i="1"/>
  <c r="S259" i="1"/>
  <c r="S243" i="1"/>
  <c r="S227" i="1"/>
  <c r="S213" i="1"/>
  <c r="S196" i="1"/>
  <c r="S180" i="1"/>
  <c r="S166" i="1"/>
  <c r="S150" i="1"/>
  <c r="S133" i="1"/>
  <c r="S117" i="1"/>
  <c r="S103" i="1"/>
  <c r="S87" i="1"/>
  <c r="S70" i="1"/>
  <c r="S56" i="1"/>
  <c r="S40" i="1"/>
  <c r="S24" i="1"/>
  <c r="S258" i="1"/>
  <c r="S242" i="1"/>
  <c r="S226" i="1"/>
  <c r="S212" i="1"/>
  <c r="S195" i="1"/>
  <c r="S179" i="1"/>
  <c r="S163" i="1"/>
  <c r="S149" i="1"/>
  <c r="S132" i="1"/>
  <c r="S116" i="1"/>
  <c r="S102" i="1"/>
  <c r="S86" i="1"/>
  <c r="S69" i="1"/>
  <c r="S53" i="1"/>
  <c r="S39" i="1"/>
  <c r="S23" i="1"/>
  <c r="S85" i="1"/>
  <c r="S257" i="1"/>
  <c r="S241" i="1"/>
  <c r="S225" i="1"/>
  <c r="S209" i="1"/>
  <c r="S194" i="1"/>
  <c r="S178" i="1"/>
  <c r="S162" i="1"/>
  <c r="S148" i="1"/>
  <c r="S131" i="1"/>
  <c r="S115" i="1"/>
  <c r="S99" i="1"/>
  <c r="S52" i="1"/>
  <c r="S38" i="1"/>
  <c r="S22" i="1"/>
  <c r="S254" i="1"/>
  <c r="S240" i="1"/>
  <c r="S224" i="1"/>
  <c r="S208" i="1"/>
  <c r="S193" i="1"/>
  <c r="S177" i="1"/>
  <c r="S161" i="1"/>
  <c r="S145" i="1"/>
  <c r="S130" i="1"/>
  <c r="S114" i="1"/>
  <c r="S98" i="1"/>
  <c r="S84" i="1"/>
  <c r="S67" i="1"/>
  <c r="S51" i="1"/>
  <c r="S35" i="1"/>
  <c r="S21" i="1"/>
  <c r="S253" i="1"/>
  <c r="S239" i="1"/>
  <c r="S223" i="1"/>
  <c r="S207" i="1"/>
  <c r="S190" i="1"/>
  <c r="S176" i="1"/>
  <c r="S160" i="1"/>
  <c r="S144" i="1"/>
  <c r="S129" i="1"/>
  <c r="S113" i="1"/>
  <c r="S97" i="1"/>
  <c r="S81" i="1"/>
  <c r="S66" i="1"/>
  <c r="S50" i="1"/>
  <c r="S34" i="1"/>
  <c r="S20" i="1"/>
  <c r="S252" i="1"/>
  <c r="S236" i="1"/>
  <c r="S222" i="1"/>
  <c r="S206" i="1"/>
  <c r="S189" i="1"/>
  <c r="S175" i="1"/>
  <c r="S159" i="1"/>
  <c r="S143" i="1"/>
  <c r="S126" i="1"/>
  <c r="S112" i="1"/>
  <c r="S96" i="1"/>
  <c r="S80" i="1"/>
  <c r="S65" i="1"/>
  <c r="S49" i="1"/>
  <c r="S33" i="1"/>
  <c r="S12" i="1"/>
  <c r="S251" i="1"/>
  <c r="S235" i="1"/>
  <c r="S221" i="1"/>
  <c r="S205" i="1"/>
  <c r="S188" i="1"/>
  <c r="S172" i="1"/>
  <c r="S158" i="1"/>
  <c r="S142" i="1"/>
  <c r="S125" i="1"/>
  <c r="S111" i="1"/>
  <c r="S95" i="1"/>
  <c r="S79" i="1"/>
  <c r="S62" i="1"/>
  <c r="S48" i="1"/>
  <c r="S32" i="1"/>
  <c r="S13" i="1"/>
  <c r="S250" i="1"/>
  <c r="S234" i="1"/>
  <c r="S218" i="1"/>
  <c r="S204" i="1"/>
  <c r="S187" i="1"/>
  <c r="S171" i="1"/>
  <c r="S157" i="1"/>
  <c r="S141" i="1"/>
  <c r="S124" i="1"/>
  <c r="S108" i="1"/>
  <c r="S94" i="1"/>
  <c r="S78" i="1"/>
  <c r="S61" i="1"/>
  <c r="S47" i="1"/>
  <c r="S31" i="1"/>
  <c r="S14" i="1"/>
  <c r="S263" i="1"/>
  <c r="S249" i="1"/>
  <c r="S233" i="1"/>
  <c r="S217" i="1"/>
  <c r="S203" i="1"/>
  <c r="S186" i="1"/>
  <c r="S170" i="1"/>
  <c r="S154" i="1"/>
  <c r="S140" i="1"/>
  <c r="S123" i="1"/>
  <c r="S107" i="1"/>
  <c r="S93" i="1"/>
  <c r="S77" i="1"/>
  <c r="S60" i="1"/>
  <c r="S44" i="1"/>
  <c r="S30" i="1"/>
  <c r="S15" i="1"/>
  <c r="S262" i="1"/>
  <c r="S248" i="1"/>
  <c r="S232" i="1"/>
  <c r="S216" i="1"/>
  <c r="S199" i="1"/>
  <c r="S185" i="1"/>
  <c r="S169" i="1"/>
  <c r="S153" i="1"/>
  <c r="S139" i="1"/>
  <c r="S122" i="1"/>
  <c r="S106" i="1"/>
  <c r="S90" i="1"/>
  <c r="S76" i="1"/>
  <c r="S59" i="1"/>
  <c r="S43" i="1"/>
  <c r="S29" i="1"/>
  <c r="S16" i="1"/>
  <c r="S261" i="1"/>
  <c r="S245" i="1"/>
  <c r="S231" i="1"/>
  <c r="S215" i="1"/>
  <c r="S198" i="1"/>
  <c r="S184" i="1"/>
  <c r="S168" i="1"/>
  <c r="S152" i="1"/>
  <c r="S135" i="1"/>
  <c r="S121" i="1"/>
  <c r="S105" i="1"/>
  <c r="S89" i="1"/>
  <c r="S75" i="1"/>
  <c r="S58" i="1"/>
  <c r="S42" i="1"/>
  <c r="S26" i="1"/>
  <c r="S17" i="1"/>
  <c r="J7" i="1"/>
  <c r="J271" i="1" s="1"/>
  <c r="I270" i="1"/>
  <c r="C173" i="1"/>
  <c r="C191" i="1" s="1"/>
  <c r="T36" i="1" l="1"/>
  <c r="T200" i="1"/>
  <c r="Q10" i="2"/>
  <c r="T228" i="1"/>
  <c r="J7" i="2"/>
  <c r="I23" i="2"/>
  <c r="I21" i="2"/>
  <c r="T155" i="1"/>
  <c r="T127" i="1"/>
  <c r="T255" i="1"/>
  <c r="T182" i="1"/>
  <c r="T210" i="1"/>
  <c r="T91" i="1"/>
  <c r="S265" i="1"/>
  <c r="T18" i="1"/>
  <c r="T63" i="1"/>
  <c r="T164" i="1"/>
  <c r="T264" i="1"/>
  <c r="T27" i="1"/>
  <c r="T237" i="1"/>
  <c r="T100" i="1"/>
  <c r="T219" i="1"/>
  <c r="T109" i="1"/>
  <c r="T136" i="1"/>
  <c r="T45" i="1"/>
  <c r="T82" i="1"/>
  <c r="T173" i="1"/>
  <c r="T191" i="1"/>
  <c r="T146" i="1"/>
  <c r="T118" i="1"/>
  <c r="T72" i="1"/>
  <c r="T54" i="1"/>
  <c r="T246" i="1"/>
  <c r="K7" i="1"/>
  <c r="K271" i="1" s="1"/>
  <c r="J270" i="1"/>
  <c r="C182" i="1"/>
  <c r="C200" i="1" s="1"/>
  <c r="C210" i="1" s="1"/>
  <c r="K7" i="2" l="1"/>
  <c r="J23" i="2"/>
  <c r="J21" i="2"/>
  <c r="T265" i="1"/>
  <c r="L7" i="1"/>
  <c r="L271" i="1" s="1"/>
  <c r="K270" i="1"/>
  <c r="C219" i="1"/>
  <c r="C228" i="1"/>
  <c r="C237" i="1" s="1"/>
  <c r="C246" i="1" s="1"/>
  <c r="C255" i="1" s="1"/>
  <c r="C264" i="1" s="1"/>
  <c r="L7" i="2" l="1"/>
  <c r="K21" i="2"/>
  <c r="K23" i="2"/>
  <c r="M7" i="1"/>
  <c r="M271" i="1" s="1"/>
  <c r="L270" i="1"/>
  <c r="M7" i="2" l="1"/>
  <c r="L23" i="2"/>
  <c r="L21" i="2"/>
  <c r="N7" i="1"/>
  <c r="N271" i="1" s="1"/>
  <c r="M270" i="1"/>
  <c r="N7" i="2" l="1"/>
  <c r="M21" i="2"/>
  <c r="M23" i="2"/>
  <c r="O7" i="1"/>
  <c r="O271" i="1" s="1"/>
  <c r="N270" i="1"/>
  <c r="O7" i="2" l="1"/>
  <c r="N21" i="2"/>
  <c r="N23" i="2"/>
  <c r="P7" i="1"/>
  <c r="Q7" i="1" s="1"/>
  <c r="O270" i="1"/>
  <c r="Q270" i="1" l="1"/>
  <c r="Q271" i="1"/>
  <c r="Q7" i="2"/>
  <c r="P7" i="2"/>
  <c r="O23" i="2"/>
  <c r="O21" i="2"/>
  <c r="P270" i="1"/>
  <c r="P271" i="1"/>
  <c r="P23" i="2" l="1"/>
  <c r="P21" i="2"/>
  <c r="Q23" i="2"/>
  <c r="Q21" i="2"/>
  <c r="AC14" i="5"/>
  <c r="AD12" i="5" l="1"/>
  <c r="AD6" i="5"/>
  <c r="AD13" i="5"/>
  <c r="AD11" i="5"/>
  <c r="AF14" i="5"/>
  <c r="AG6" i="5" s="1"/>
  <c r="AD14" i="5" l="1"/>
  <c r="AG11" i="5"/>
  <c r="AG13" i="5"/>
  <c r="AG12" i="5"/>
  <c r="AG14" i="5" l="1"/>
  <c r="AI14" i="5"/>
  <c r="AJ12" i="5" s="1"/>
  <c r="AR14" i="5" l="1"/>
  <c r="AI7" i="5" s="1"/>
  <c r="AJ11" i="5"/>
  <c r="AJ6" i="5"/>
  <c r="AJ13" i="5"/>
  <c r="W7" i="5"/>
  <c r="K7" i="5"/>
  <c r="AS6" i="5"/>
  <c r="AO7" i="5"/>
  <c r="AC7" i="5"/>
  <c r="H7" i="5"/>
  <c r="AS11" i="5"/>
  <c r="AL7" i="5"/>
  <c r="C9" i="5"/>
  <c r="E7" i="5"/>
  <c r="AS12" i="5"/>
  <c r="AS13" i="5"/>
  <c r="N7" i="5"/>
  <c r="AF7" i="5"/>
  <c r="Z7" i="5"/>
  <c r="Q7" i="5"/>
  <c r="T7" i="5"/>
  <c r="AJ14" i="5" l="1"/>
  <c r="AR7" i="5"/>
  <c r="AS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E4" authorId="0" shapeId="0" xr:uid="{3A8D8A7F-CA3D-964F-8DEB-8E6791F30C73}">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47" authorId="0" shapeId="0" xr:uid="{58F62AE8-031A-0946-A1BF-897450C23E62}">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90" authorId="0" shapeId="0" xr:uid="{63760B48-A3CE-794D-B554-375C4C6E3CB2}">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133" authorId="0" shapeId="0" xr:uid="{9CCDCEE5-E8DD-D145-88A3-C6C53ED34732}">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176" authorId="0" shapeId="0" xr:uid="{2928B52E-5B63-1843-8C2A-EA3226A65BC2}">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219" authorId="0" shapeId="0" xr:uid="{9028D5B0-AFEB-594F-94CD-476D5BA4FBE7}">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262" authorId="0" shapeId="0" xr:uid="{D7C1D1F8-4212-9746-B083-BDAF554C2B08}">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305" authorId="0" shapeId="0" xr:uid="{014780F1-C653-8A43-835C-C66964DB10CF}">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348" authorId="0" shapeId="0" xr:uid="{43BAC0A9-DAB6-AD44-9F4F-FC9DA84165E9}">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391" authorId="0" shapeId="0" xr:uid="{13047C4B-6E37-0643-BC61-DD02AACA245B}">
      <text>
        <r>
          <rPr>
            <b/>
            <sz val="9"/>
            <color indexed="8"/>
            <rFont val="Verdana"/>
            <family val="2"/>
          </rPr>
          <t>Christian Latour:</t>
        </r>
        <r>
          <rPr>
            <sz val="9"/>
            <color indexed="8"/>
            <rFont val="Verdana"/>
            <family val="2"/>
          </rPr>
          <t xml:space="preserve">
</t>
        </r>
        <r>
          <rPr>
            <sz val="9"/>
            <color indexed="8"/>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434" authorId="0" shapeId="0" xr:uid="{7AA32A47-D57A-9B4C-A1D7-223ECB35D9D5}">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477" authorId="0" shapeId="0" xr:uid="{7D945D6C-1512-6A40-979F-C937BB50DFDC}">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520" authorId="0" shapeId="0" xr:uid="{1F71AB5A-A1B5-E546-8E98-6156C3EBE746}">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563" authorId="0" shapeId="0" xr:uid="{9C38EC1D-51FF-1840-B561-3FB7B536E39F}">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D4" authorId="0" shapeId="0" xr:uid="{FD848A7C-C3FB-4F4F-BFBB-816CBBC8E3C5}">
      <text>
        <r>
          <rPr>
            <b/>
            <sz val="9"/>
            <color rgb="FF000000"/>
            <rFont val="Verdana"/>
            <family val="2"/>
          </rPr>
          <t xml:space="preserve">Christian Latour:
</t>
        </r>
        <r>
          <rPr>
            <b/>
            <sz val="9"/>
            <color rgb="FF000000"/>
            <rFont val="Verdana"/>
            <family val="2"/>
          </rPr>
          <t>Le coût de chaque produit contenu sur cette carte est le coût affiché sur le site de la SAQ.</t>
        </r>
      </text>
    </comment>
  </commentList>
</comments>
</file>

<file path=xl/sharedStrings.xml><?xml version="1.0" encoding="utf-8"?>
<sst xmlns="http://schemas.openxmlformats.org/spreadsheetml/2006/main" count="2114" uniqueCount="198">
  <si>
    <t>Semaine 1</t>
  </si>
  <si>
    <t xml:space="preserve"> </t>
  </si>
  <si>
    <t>6 h à 9 h 30</t>
  </si>
  <si>
    <t>9 h 30 à 11 h 30</t>
  </si>
  <si>
    <t>11 h 30 à 14 h 30</t>
  </si>
  <si>
    <t>14 h 30 à 17 h</t>
  </si>
  <si>
    <t>17 h à 19 h</t>
  </si>
  <si>
    <t>19 h à 23 h</t>
  </si>
  <si>
    <t>23 h à 6 h</t>
  </si>
  <si>
    <t>Total</t>
  </si>
  <si>
    <t>Semaine 2</t>
  </si>
  <si>
    <t>Semaine 3</t>
  </si>
  <si>
    <t>Semaine 4</t>
  </si>
  <si>
    <t>(A)  / année</t>
  </si>
  <si>
    <t>(A) / Période</t>
  </si>
  <si>
    <t>Février</t>
  </si>
  <si>
    <t>Mars</t>
  </si>
  <si>
    <t>Avril</t>
  </si>
  <si>
    <t>Juin</t>
  </si>
  <si>
    <t>Juillet</t>
  </si>
  <si>
    <t>Août</t>
  </si>
  <si>
    <t>Septembre</t>
  </si>
  <si>
    <t>Octobre</t>
  </si>
  <si>
    <t>Janvier</t>
  </si>
  <si>
    <t>Mai</t>
  </si>
  <si>
    <t>Nb de jours</t>
  </si>
  <si>
    <t>Nb de places</t>
  </si>
  <si>
    <t>Lundi</t>
  </si>
  <si>
    <t>Mardi</t>
  </si>
  <si>
    <t>Mercredi</t>
  </si>
  <si>
    <t>Jeudi</t>
  </si>
  <si>
    <t>Vendredi</t>
  </si>
  <si>
    <t>Samedi</t>
  </si>
  <si>
    <t>Dimanche</t>
  </si>
  <si>
    <t>(A) / Places / Période</t>
  </si>
  <si>
    <t>État de l'achalandage (A)</t>
  </si>
  <si>
    <t>Votre entreprise inc.</t>
  </si>
  <si>
    <t>Année</t>
  </si>
  <si>
    <t>NB de jour / Exploitation</t>
  </si>
  <si>
    <t>Courbe de vente</t>
  </si>
  <si>
    <t>Achalandage  Mois et Année</t>
  </si>
  <si>
    <t>NB de client par place par jour</t>
  </si>
  <si>
    <t>Taux d'occupation en %</t>
  </si>
  <si>
    <t>NB de jours</t>
  </si>
  <si>
    <t>Moyenne (A) / jour P</t>
  </si>
  <si>
    <t>Moyenne (A) / jour Année</t>
  </si>
  <si>
    <t xml:space="preserve"> (A) / Places / Année</t>
  </si>
  <si>
    <t xml:space="preserve"> (A) / Places / jour</t>
  </si>
  <si>
    <t>(A) / Places / Jour</t>
  </si>
  <si>
    <t>[</t>
  </si>
  <si>
    <t>]</t>
  </si>
  <si>
    <t>Demande mensuelle</t>
  </si>
  <si>
    <t>=</t>
  </si>
  <si>
    <t>Achalandage mensuel</t>
  </si>
  <si>
    <t>x</t>
  </si>
  <si>
    <t>(</t>
  </si>
  <si>
    <t>Um/A</t>
  </si>
  <si>
    <t>PmO</t>
  </si>
  <si>
    <t>)</t>
  </si>
  <si>
    <t>Coût mensuel</t>
  </si>
  <si>
    <t>CmO</t>
  </si>
  <si>
    <t>Bénéfice mensuel</t>
  </si>
  <si>
    <t>BmO</t>
  </si>
  <si>
    <t>D</t>
  </si>
  <si>
    <t>A</t>
  </si>
  <si>
    <t xml:space="preserve">C </t>
  </si>
  <si>
    <t xml:space="preserve">B </t>
  </si>
  <si>
    <t>T</t>
  </si>
  <si>
    <t>Achalandage annuelle</t>
  </si>
  <si>
    <t>Coût annuel</t>
  </si>
  <si>
    <t>Bénéfice annuel</t>
  </si>
  <si>
    <t>Dm/A</t>
  </si>
  <si>
    <t>Cm/A</t>
  </si>
  <si>
    <t>Bm/A</t>
  </si>
  <si>
    <t>D = la demande totale des acheteurs pour une période donnée, ce qui correspond aux revenus d’une entreprise de restauration alimentaire pour une période donnée</t>
  </si>
  <si>
    <t>A = le nombre d’acheteurs durant cette période (l’achalandage) </t>
  </si>
  <si>
    <t>Um/A = le nombre moyen d’unités de produits achetés par les acheteurs durant cette période </t>
  </si>
  <si>
    <t>PmO = le prix moyen des produits offerts sur la carte de l’entreprise durant cette période</t>
  </si>
  <si>
    <t>Dm/A = la demande moyenne par acheteur [la demande moyenne par acheteur (Dm/A) est souvent nommée par les différends utilisateurs, la facture moyenne par client (Fm/C)]</t>
  </si>
  <si>
    <t>En utilisant la formule de base on comprend que : D ÷ A = (Um/A x PmO) et D ÷ A = Dm/A</t>
  </si>
  <si>
    <t>Demande totale</t>
  </si>
  <si>
    <t>Demande boisson</t>
  </si>
  <si>
    <t>Demande nourriture</t>
  </si>
  <si>
    <t>Achalandage (A)</t>
  </si>
  <si>
    <t xml:space="preserve">Nombre d’unités moyen acheté par acheteur (Um/A)
</t>
  </si>
  <si>
    <t>LISTE DE PRODUITS ET DE PRIX (ANNÉE 1)</t>
  </si>
  <si>
    <t>LISTE DE PRODUITS ET DE PRIX (Période 13)</t>
  </si>
  <si>
    <t>LISTE DE PRODUITS ET DE PRIX (Période 12)</t>
  </si>
  <si>
    <t>LISTE DE PRODUITS ET DE PRIX (Période 11)</t>
  </si>
  <si>
    <t>LISTE DE PRODUITS ET DE PRIX (Période 10)</t>
  </si>
  <si>
    <t>LISTE DE PRODUITS ET DE PRIX (Période 9)</t>
  </si>
  <si>
    <t>LISTE DE PRODUITS ET DE PRIX (Période 8)</t>
  </si>
  <si>
    <t>LISTE DE PRODUITS ET DE PRIX (Période 7)</t>
  </si>
  <si>
    <t>2e semestre</t>
  </si>
  <si>
    <t>LISTE DE PRODUITS ET DE PRIX (Période 6)</t>
  </si>
  <si>
    <t>LISTE DE PRODUITS ET DE PRIX (Période 5)</t>
  </si>
  <si>
    <t>LISTE DE PRODUITS ET DE PRIX (Période 4)</t>
  </si>
  <si>
    <t>LISTE DE PRODUITS ET DE PRIX (Période 3)</t>
  </si>
  <si>
    <t>LISTE DE PRODUITS ET DE PRIX (Période 2)</t>
  </si>
  <si>
    <t>CmO—PmO—F&amp;B cost moyen offert—Marge brute</t>
  </si>
  <si>
    <t>OFFRE TOTALE AVEC LES GÂTERIES ET LES CAFÉS GÂTERIES</t>
  </si>
  <si>
    <t>F&amp;BCmO</t>
  </si>
  <si>
    <t>CmO—PmO—Beverage Cost—Marge brute</t>
  </si>
  <si>
    <t>Boisson spécial numéro 12</t>
  </si>
  <si>
    <t>Boisson spécial numéro 11</t>
  </si>
  <si>
    <t>Boisson spécial numéro 10</t>
  </si>
  <si>
    <t>Boisson spécial numéro 9</t>
  </si>
  <si>
    <t>Boisson spécial numéro 8</t>
  </si>
  <si>
    <t>Boisson spécial numéro 7</t>
  </si>
  <si>
    <t>Boisson spécial numéro 6</t>
  </si>
  <si>
    <t>Boisson spécial numéro 5</t>
  </si>
  <si>
    <t>Boisson spécial numéro 4</t>
  </si>
  <si>
    <t>Boisson spécial numéro 3</t>
  </si>
  <si>
    <t>Boisson spécial numéro 2</t>
  </si>
  <si>
    <t>Boisson spécial numéro 1</t>
  </si>
  <si>
    <t>Les Boissons  Gâteries</t>
  </si>
  <si>
    <t>CmO—PmO—Food Cost—BmO</t>
  </si>
  <si>
    <t>Petite Gâterie 12</t>
  </si>
  <si>
    <t>Petite Gâterie 11</t>
  </si>
  <si>
    <t>Petite Gâterie 10</t>
  </si>
  <si>
    <t>Petite Gâterie 9</t>
  </si>
  <si>
    <t>Petite Gâterie 8</t>
  </si>
  <si>
    <t>Petite Gâterie 7</t>
  </si>
  <si>
    <t>Petite Gâterie 6</t>
  </si>
  <si>
    <t>Petite Gâterie 5</t>
  </si>
  <si>
    <t>Petite Gâterie 4</t>
  </si>
  <si>
    <t>Petite Gâterie 3</t>
  </si>
  <si>
    <t>Petite Gâterie 2</t>
  </si>
  <si>
    <t>Petite Gâterie 1</t>
  </si>
  <si>
    <t>Les Petite Gâteries</t>
  </si>
  <si>
    <t>Marge brute gagnée sur la vente de chaque produit offert</t>
  </si>
  <si>
    <t xml:space="preserve">« Food &amp; Beverage Cost » </t>
  </si>
  <si>
    <t>Prix de vente par produit offert</t>
  </si>
  <si>
    <t>Coûts des ressources alimentaires pour chaque produit offert (voir recettes standardisées)</t>
  </si>
  <si>
    <t>LISTE DE PRODUITS ET DE PRIX (Période 1)</t>
  </si>
  <si>
    <t>1er semestre</t>
  </si>
  <si>
    <t>Revenus totaux</t>
  </si>
  <si>
    <t>Revenus nourritures</t>
  </si>
  <si>
    <t>Revenus boissons</t>
  </si>
  <si>
    <t>Revenus produits et services complémentaires</t>
  </si>
  <si>
    <t>Coûts totaux</t>
  </si>
  <si>
    <t>Bénéfices nets avant impôts</t>
  </si>
  <si>
    <t>Résultats comparatifs</t>
  </si>
  <si>
    <t xml:space="preserve">États des résultats </t>
  </si>
  <si>
    <t>Rev. / place / jour</t>
  </si>
  <si>
    <t>Revenus annuels par place</t>
  </si>
  <si>
    <t>(%)</t>
  </si>
  <si>
    <t>Revenus</t>
  </si>
  <si>
    <t xml:space="preserve"> Nourriture</t>
  </si>
  <si>
    <t xml:space="preserve"> </t>
    <phoneticPr fontId="0" type="noConversion"/>
  </si>
  <si>
    <t xml:space="preserve"> Boisson</t>
  </si>
  <si>
    <t xml:space="preserve"> Autres revenus</t>
  </si>
  <si>
    <t xml:space="preserve">   Total des revenus</t>
  </si>
  <si>
    <t xml:space="preserve">Novembre </t>
  </si>
  <si>
    <t>Décembre</t>
  </si>
  <si>
    <t>Moyenne</t>
  </si>
  <si>
    <t>364 jours</t>
  </si>
  <si>
    <t>SCIAN 722511</t>
  </si>
  <si>
    <t>TYPES D’ENTREPRISES : RESTAURANTS À SERVICE COMPLET</t>
  </si>
  <si>
    <t>LISTE DE PRODUIT ET DE PRIX</t>
  </si>
  <si>
    <t xml:space="preserve">Coûts des produits vendus </t>
  </si>
  <si>
    <t xml:space="preserve">Prix de vente </t>
  </si>
  <si>
    <t>Coût en %</t>
  </si>
  <si>
    <t>Marge brute gagnée sur la vente de chaque produit</t>
  </si>
  <si>
    <t>PRODUITS ET SERVICES COMPLÉMENTAIRES</t>
  </si>
  <si>
    <t>CmO — PmO — Coût en % — Marge brute</t>
  </si>
  <si>
    <t>Marge brute</t>
  </si>
  <si>
    <t xml:space="preserve">OFFRE TOTALE </t>
  </si>
  <si>
    <t>CmO — PmO — coût en % — Marge brute</t>
  </si>
  <si>
    <t>Tablier collection</t>
  </si>
  <si>
    <t>Sac collection</t>
  </si>
  <si>
    <t>Parapluie collection</t>
  </si>
  <si>
    <t>Casquette</t>
  </si>
  <si>
    <t>Couverture</t>
  </si>
  <si>
    <t>Verre à Vin</t>
  </si>
  <si>
    <t>Veste pour femme</t>
  </si>
  <si>
    <t>Veste pour homme</t>
  </si>
  <si>
    <t>Porte-clés</t>
  </si>
  <si>
    <t>Tee-Shirt 100 5 coton</t>
  </si>
  <si>
    <t>Calendrier du 2 janvier 2023 au 31 décembre 2023</t>
  </si>
  <si>
    <t>Pér.01</t>
    <phoneticPr fontId="0" type="noConversion"/>
  </si>
  <si>
    <t>Pér.02</t>
    <phoneticPr fontId="0" type="noConversion"/>
  </si>
  <si>
    <t>Pér.03</t>
    <phoneticPr fontId="0" type="noConversion"/>
  </si>
  <si>
    <t>Pér.04</t>
  </si>
  <si>
    <t>Pér.05</t>
    <phoneticPr fontId="0" type="noConversion"/>
  </si>
  <si>
    <t>Pér.06</t>
    <phoneticPr fontId="0" type="noConversion"/>
  </si>
  <si>
    <t>Pér.07</t>
    <phoneticPr fontId="0" type="noConversion"/>
  </si>
  <si>
    <t>Pér.08</t>
    <phoneticPr fontId="0" type="noConversion"/>
  </si>
  <si>
    <t>Pér.09</t>
    <phoneticPr fontId="0" type="noConversion"/>
  </si>
  <si>
    <t>Pér.10</t>
    <phoneticPr fontId="0" type="noConversion"/>
  </si>
  <si>
    <t>Pér.11</t>
    <phoneticPr fontId="0" type="noConversion"/>
  </si>
  <si>
    <t>Pér.12</t>
    <phoneticPr fontId="0" type="noConversion"/>
  </si>
  <si>
    <t>Pér.13</t>
  </si>
  <si>
    <t>NB de place</t>
  </si>
  <si>
    <t>NB de jour</t>
  </si>
  <si>
    <t xml:space="preserve">Votre entreprise inc. </t>
  </si>
  <si>
    <t>Pour la période du 2 janvier 2023 au 31 décembre 2023</t>
  </si>
  <si>
    <t>Pour la période du 2 janvier 2023 au 31 décembre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</si>
</sst>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_(&quot;$&quot;* #,##0.00_);_(&quot;$&quot;* \(#,##0.00\);_(&quot;$&quot;* &quot;-&quot;??_);_(@_)"/>
    <numFmt numFmtId="165" formatCode="&quot;$&quot;#,##0.00_);\(&quot;$&quot;#,##0.00\)"/>
    <numFmt numFmtId="166" formatCode="_(&quot;$&quot;* #,##0_);_(&quot;$&quot;* \(#,##0\);_(&quot;$&quot;* &quot;-&quot;_);_(@_)"/>
    <numFmt numFmtId="167" formatCode="[$-C0C]d\ mmm\ yyyy;@"/>
    <numFmt numFmtId="168" formatCode="[$-C0C]d\ mmmm\,\ yyyy;@"/>
    <numFmt numFmtId="169" formatCode="_ * #,##0_)\ _$_ ;_ * \(#,##0\)\ _$_ ;_ * &quot;-&quot;_)\ _$_ ;_ @_ "/>
    <numFmt numFmtId="170" formatCode="0.0%"/>
    <numFmt numFmtId="171" formatCode="#,##0.00000\ &quot;$&quot;_);\(#,##0.00000\ &quot;$&quot;\)"/>
    <numFmt numFmtId="172" formatCode="#,##0.00\ &quot;$&quot;"/>
    <numFmt numFmtId="173" formatCode="#,##0.00000\ &quot;$&quot;"/>
    <numFmt numFmtId="174" formatCode="0.000"/>
    <numFmt numFmtId="175" formatCode="&quot;$&quot;#,##0_);\(&quot;$&quot;#,##0\)"/>
    <numFmt numFmtId="176" formatCode="_ * #,##0.00000_)\ &quot;$&quot;_ ;_ * \(#,##0.00000\)\ &quot;$&quot;_ ;_ * &quot;-&quot;?????_)\ &quot;$&quot;_ ;_ @_ "/>
    <numFmt numFmtId="177" formatCode="0.00000%"/>
    <numFmt numFmtId="178" formatCode="0.0000"/>
    <numFmt numFmtId="179" formatCode="_ * #,##0.0000_)\ &quot;$&quot;_ ;_ * \(#,##0.0000\)\ &quot;$&quot;_ ;_ * &quot;-&quot;????_)\ &quot;$&quot;_ ;_ @_ "/>
    <numFmt numFmtId="180" formatCode="0.0000%"/>
    <numFmt numFmtId="181" formatCode="#,##0.00&quot;$&quot;"/>
  </numFmts>
  <fonts count="105" x14ac:knownFonts="1">
    <font>
      <sz val="10"/>
      <name val="Arial"/>
      <family val="2"/>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b/>
      <sz val="8"/>
      <name val="Arial"/>
      <family val="2"/>
    </font>
    <font>
      <b/>
      <sz val="10"/>
      <color theme="0" tint="-0.249977111117893"/>
      <name val="Arial"/>
      <family val="2"/>
    </font>
    <font>
      <sz val="10"/>
      <color theme="0" tint="-0.249977111117893"/>
      <name val="Arial"/>
      <family val="2"/>
    </font>
    <font>
      <b/>
      <sz val="10"/>
      <name val="Arial"/>
      <family val="2"/>
      <charset val="204"/>
    </font>
    <font>
      <sz val="10"/>
      <color rgb="FFD9D9D9"/>
      <name val="Arial"/>
      <family val="2"/>
    </font>
    <font>
      <b/>
      <sz val="10"/>
      <color rgb="FFD9D9D9"/>
      <name val="Arial"/>
      <family val="2"/>
    </font>
    <font>
      <b/>
      <sz val="8"/>
      <color theme="1"/>
      <name val="Arial"/>
      <family val="2"/>
    </font>
    <font>
      <b/>
      <sz val="10"/>
      <color rgb="FF0000FF"/>
      <name val="Arial"/>
      <family val="2"/>
    </font>
    <font>
      <b/>
      <u/>
      <sz val="10"/>
      <name val="Arial"/>
      <family val="2"/>
    </font>
    <font>
      <b/>
      <u/>
      <sz val="10"/>
      <name val="Arial"/>
      <family val="2"/>
      <charset val="204"/>
    </font>
    <font>
      <b/>
      <sz val="10"/>
      <color theme="1"/>
      <name val="Arial"/>
      <family val="2"/>
    </font>
    <font>
      <sz val="11"/>
      <name val="Arial"/>
      <family val="2"/>
      <charset val="204"/>
    </font>
    <font>
      <b/>
      <sz val="10"/>
      <name val="Arial"/>
      <family val="2"/>
    </font>
    <font>
      <b/>
      <sz val="10"/>
      <color rgb="FF0070C0"/>
      <name val="Arial"/>
      <family val="2"/>
    </font>
    <font>
      <sz val="10"/>
      <color rgb="FF0070C0"/>
      <name val="Arial"/>
      <family val="2"/>
    </font>
    <font>
      <sz val="8"/>
      <name val="Arial"/>
      <family val="2"/>
    </font>
    <font>
      <b/>
      <u val="double"/>
      <sz val="10"/>
      <color theme="1"/>
      <name val="Arial"/>
      <family val="2"/>
    </font>
    <font>
      <b/>
      <sz val="10"/>
      <color theme="0"/>
      <name val="Arial"/>
      <family val="2"/>
    </font>
    <font>
      <b/>
      <sz val="11"/>
      <name val="Arial"/>
      <family val="2"/>
    </font>
    <font>
      <b/>
      <u val="double"/>
      <sz val="10"/>
      <color theme="0"/>
      <name val="Arial"/>
      <family val="2"/>
    </font>
    <font>
      <b/>
      <u/>
      <sz val="10"/>
      <color theme="1"/>
      <name val="Arial"/>
      <family val="2"/>
    </font>
    <font>
      <sz val="10"/>
      <color theme="1"/>
      <name val="Arial"/>
      <family val="2"/>
    </font>
    <font>
      <b/>
      <sz val="10"/>
      <color theme="0" tint="-0.14999847407452621"/>
      <name val="Arial"/>
      <family val="2"/>
    </font>
    <font>
      <sz val="10"/>
      <color theme="0"/>
      <name val="Arial"/>
      <family val="2"/>
    </font>
    <font>
      <b/>
      <sz val="10"/>
      <color theme="0" tint="-4.9989318521683403E-2"/>
      <name val="Arial"/>
      <family val="2"/>
    </font>
    <font>
      <sz val="10"/>
      <color theme="0" tint="-4.9989318521683403E-2"/>
      <name val="Arial"/>
      <family val="2"/>
    </font>
    <font>
      <b/>
      <u/>
      <sz val="10"/>
      <color theme="0" tint="-4.9989318521683403E-2"/>
      <name val="Arial"/>
      <family val="2"/>
    </font>
    <font>
      <b/>
      <u val="double"/>
      <sz val="10"/>
      <color rgb="FFD9D9D9"/>
      <name val="Arial"/>
      <family val="2"/>
    </font>
    <font>
      <b/>
      <sz val="10"/>
      <color rgb="FFFFFFFF"/>
      <name val="Arial"/>
      <family val="2"/>
    </font>
    <font>
      <b/>
      <sz val="12"/>
      <color rgb="FF0070C0"/>
      <name val="Arial"/>
      <family val="2"/>
    </font>
    <font>
      <sz val="12"/>
      <color rgb="FF0070C0"/>
      <name val="Arial"/>
      <family val="2"/>
    </font>
    <font>
      <b/>
      <sz val="12"/>
      <color theme="1"/>
      <name val="Calibri"/>
      <family val="2"/>
      <scheme val="minor"/>
    </font>
    <font>
      <sz val="12"/>
      <color theme="0"/>
      <name val="Calibri"/>
      <family val="2"/>
      <scheme val="minor"/>
    </font>
    <font>
      <b/>
      <sz val="20"/>
      <color theme="0"/>
      <name val="Arial"/>
      <family val="2"/>
    </font>
    <font>
      <sz val="48"/>
      <name val="Arial"/>
      <family val="2"/>
    </font>
    <font>
      <b/>
      <sz val="12"/>
      <name val="Arial"/>
      <family val="2"/>
    </font>
    <font>
      <b/>
      <sz val="80"/>
      <color theme="1"/>
      <name val="Calibri"/>
      <family val="2"/>
      <scheme val="minor"/>
    </font>
    <font>
      <b/>
      <sz val="20"/>
      <name val="Arial"/>
      <family val="2"/>
    </font>
    <font>
      <b/>
      <sz val="16"/>
      <color theme="1"/>
      <name val="Calibri"/>
      <family val="2"/>
      <scheme val="minor"/>
    </font>
    <font>
      <sz val="14"/>
      <color theme="1"/>
      <name val="Calibri"/>
      <family val="2"/>
      <scheme val="minor"/>
    </font>
    <font>
      <b/>
      <sz val="20"/>
      <color theme="1"/>
      <name val="Calibri"/>
      <family val="2"/>
      <scheme val="minor"/>
    </font>
    <font>
      <b/>
      <sz val="12"/>
      <color rgb="FF0000FF"/>
      <name val="Calibri"/>
      <family val="2"/>
      <scheme val="minor"/>
    </font>
    <font>
      <sz val="14"/>
      <color rgb="FF333333"/>
      <name val="Verdana"/>
      <family val="2"/>
    </font>
    <font>
      <sz val="12"/>
      <name val="Arial"/>
      <family val="2"/>
    </font>
    <font>
      <sz val="48"/>
      <color theme="1"/>
      <name val="Arial"/>
      <family val="2"/>
    </font>
    <font>
      <b/>
      <sz val="12"/>
      <color theme="1"/>
      <name val="Arial"/>
      <family val="2"/>
    </font>
    <font>
      <sz val="48"/>
      <color theme="0"/>
      <name val="Arial"/>
      <family val="2"/>
    </font>
    <font>
      <b/>
      <sz val="14"/>
      <color theme="1"/>
      <name val="Arial"/>
      <family val="2"/>
    </font>
    <font>
      <b/>
      <sz val="80"/>
      <color theme="0"/>
      <name val="Calibri"/>
      <family val="2"/>
      <scheme val="minor"/>
    </font>
    <font>
      <b/>
      <sz val="16"/>
      <color theme="0"/>
      <name val="Calibri"/>
      <family val="2"/>
      <scheme val="minor"/>
    </font>
    <font>
      <sz val="14"/>
      <color theme="0"/>
      <name val="Calibri"/>
      <family val="2"/>
      <scheme val="minor"/>
    </font>
    <font>
      <b/>
      <sz val="20"/>
      <color theme="0"/>
      <name val="Calibri"/>
      <family val="2"/>
      <scheme val="minor"/>
    </font>
    <font>
      <b/>
      <sz val="14"/>
      <name val="Verdana"/>
      <family val="2"/>
    </font>
    <font>
      <b/>
      <sz val="12"/>
      <color theme="0"/>
      <name val="Calibri"/>
      <family val="2"/>
      <scheme val="minor"/>
    </font>
    <font>
      <sz val="80"/>
      <color theme="1"/>
      <name val="Calibri"/>
      <family val="2"/>
      <scheme val="minor"/>
    </font>
    <font>
      <b/>
      <u val="singleAccounting"/>
      <sz val="10"/>
      <name val="Arial"/>
      <family val="2"/>
    </font>
    <font>
      <b/>
      <sz val="20"/>
      <color theme="1"/>
      <name val="Arial"/>
      <family val="2"/>
    </font>
    <font>
      <b/>
      <u val="singleAccounting"/>
      <sz val="10"/>
      <color theme="1"/>
      <name val="Verdana"/>
      <family val="2"/>
    </font>
    <font>
      <b/>
      <u/>
      <sz val="10"/>
      <name val="Verdana"/>
      <family val="2"/>
    </font>
    <font>
      <b/>
      <u/>
      <sz val="12"/>
      <name val="Arial"/>
      <family val="2"/>
    </font>
    <font>
      <b/>
      <u val="singleAccounting"/>
      <sz val="12"/>
      <name val="Arial"/>
      <family val="2"/>
    </font>
    <font>
      <b/>
      <sz val="10"/>
      <name val="Verdana"/>
      <family val="2"/>
    </font>
    <font>
      <sz val="10"/>
      <name val="Verdana"/>
      <family val="2"/>
    </font>
    <font>
      <b/>
      <sz val="12"/>
      <name val="Verdana"/>
      <family val="2"/>
    </font>
    <font>
      <sz val="12"/>
      <name val="Verdana"/>
      <family val="2"/>
    </font>
    <font>
      <b/>
      <sz val="17"/>
      <name val="Arial"/>
      <family val="2"/>
    </font>
    <font>
      <b/>
      <sz val="12"/>
      <name val="Arial"/>
      <family val="2"/>
      <charset val="204"/>
    </font>
    <font>
      <b/>
      <sz val="17"/>
      <color theme="0"/>
      <name val="Arial"/>
      <family val="2"/>
    </font>
    <font>
      <b/>
      <u val="singleAccounting"/>
      <sz val="10"/>
      <name val="Verdana"/>
      <family val="2"/>
    </font>
    <font>
      <b/>
      <u val="singleAccounting"/>
      <sz val="12"/>
      <color rgb="FF0070C0"/>
      <name val="Arial"/>
      <family val="2"/>
    </font>
    <font>
      <b/>
      <u val="singleAccounting"/>
      <sz val="10"/>
      <color theme="1"/>
      <name val="Arial"/>
      <family val="2"/>
    </font>
    <font>
      <b/>
      <sz val="10"/>
      <color theme="1"/>
      <name val="Verdana"/>
      <family val="2"/>
    </font>
    <font>
      <b/>
      <u/>
      <sz val="10"/>
      <color rgb="FF0070C0"/>
      <name val="Verdana"/>
      <family val="2"/>
    </font>
    <font>
      <b/>
      <sz val="9"/>
      <color rgb="FF000000"/>
      <name val="Verdana"/>
      <family val="2"/>
    </font>
    <font>
      <sz val="9"/>
      <color rgb="FF000000"/>
      <name val="Verdana"/>
      <family val="2"/>
    </font>
    <font>
      <b/>
      <sz val="9"/>
      <color indexed="8"/>
      <name val="Verdana"/>
      <family val="2"/>
    </font>
    <font>
      <sz val="9"/>
      <color indexed="8"/>
      <name val="Verdana"/>
      <family val="2"/>
    </font>
    <font>
      <b/>
      <sz val="14"/>
      <color theme="0"/>
      <name val="Arial"/>
      <family val="2"/>
    </font>
    <font>
      <b/>
      <sz val="80"/>
      <color theme="7" tint="0.59999389629810485"/>
      <name val="Calibri"/>
      <family val="2"/>
      <scheme val="minor"/>
    </font>
    <font>
      <sz val="12"/>
      <color theme="7" tint="0.59999389629810485"/>
      <name val="Calibri"/>
      <family val="2"/>
      <scheme val="minor"/>
    </font>
    <font>
      <b/>
      <u val="singleAccounting"/>
      <sz val="10"/>
      <color theme="0"/>
      <name val="Arial"/>
      <family val="2"/>
    </font>
    <font>
      <sz val="14"/>
      <color theme="0"/>
      <name val="Arial"/>
      <family val="2"/>
    </font>
    <font>
      <b/>
      <sz val="10"/>
      <color rgb="FF272AD5"/>
      <name val="Arial"/>
      <family val="2"/>
    </font>
    <font>
      <b/>
      <sz val="10"/>
      <color rgb="FF0003FF"/>
      <name val="Arial"/>
      <family val="2"/>
    </font>
    <font>
      <b/>
      <sz val="10"/>
      <color indexed="9"/>
      <name val="Arial"/>
      <family val="2"/>
      <charset val="204"/>
    </font>
    <font>
      <sz val="10"/>
      <color indexed="9"/>
      <name val="Arial"/>
      <family val="2"/>
    </font>
    <font>
      <u/>
      <sz val="10"/>
      <color theme="10"/>
      <name val="Arial"/>
      <family val="2"/>
    </font>
    <font>
      <b/>
      <u/>
      <sz val="12"/>
      <color theme="10"/>
      <name val="Calibri"/>
      <family val="2"/>
      <scheme val="minor"/>
    </font>
    <font>
      <b/>
      <sz val="14"/>
      <color theme="1"/>
      <name val="Calibri"/>
      <family val="2"/>
      <scheme val="minor"/>
    </font>
    <font>
      <b/>
      <u val="doubleAccounting"/>
      <sz val="12"/>
      <color theme="1"/>
      <name val="Calibri"/>
      <family val="2"/>
      <scheme val="minor"/>
    </font>
    <font>
      <sz val="19"/>
      <color rgb="FF000000"/>
      <name val="Verdana"/>
      <family val="2"/>
    </font>
    <font>
      <b/>
      <sz val="14"/>
      <name val="Arial"/>
      <family val="2"/>
    </font>
    <font>
      <b/>
      <u/>
      <sz val="14"/>
      <name val="Arial"/>
      <family val="2"/>
    </font>
    <font>
      <b/>
      <u val="singleAccounting"/>
      <sz val="12"/>
      <name val="Verdana"/>
      <family val="2"/>
    </font>
    <font>
      <b/>
      <sz val="12"/>
      <color theme="0"/>
      <name val="Arial"/>
      <family val="2"/>
    </font>
    <font>
      <b/>
      <sz val="8"/>
      <color theme="0"/>
      <name val="Arial"/>
      <family val="2"/>
    </font>
    <font>
      <sz val="12"/>
      <color theme="0"/>
      <name val="Arial"/>
      <family val="2"/>
    </font>
    <font>
      <b/>
      <sz val="24"/>
      <color theme="1"/>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rgb="FF000000"/>
        <bgColor rgb="FF000000"/>
      </patternFill>
    </fill>
    <fill>
      <patternFill patternType="solid">
        <fgColor theme="1"/>
        <bgColor rgb="FF000000"/>
      </patternFill>
    </fill>
    <fill>
      <patternFill patternType="solid">
        <fgColor theme="4" tint="0.59999389629810485"/>
        <bgColor indexed="64"/>
      </patternFill>
    </fill>
    <fill>
      <patternFill patternType="solid">
        <fgColor theme="1"/>
        <bgColor indexed="64"/>
      </patternFill>
    </fill>
    <fill>
      <patternFill patternType="solid">
        <fgColor theme="0" tint="-0.14999847407452621"/>
        <bgColor rgb="FF000000"/>
      </patternFill>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indexed="9"/>
        <bgColor indexed="64"/>
      </patternFill>
    </fill>
    <fill>
      <patternFill patternType="solid">
        <fgColor theme="7" tint="0.59999389629810485"/>
        <bgColor indexed="64"/>
      </patternFill>
    </fill>
    <fill>
      <patternFill patternType="solid">
        <fgColor indexed="8"/>
        <bgColor indexed="64"/>
      </patternFill>
    </fill>
    <fill>
      <patternFill patternType="solid">
        <fgColor theme="0"/>
        <bgColor rgb="FF000000"/>
      </patternFill>
    </fill>
    <fill>
      <patternFill patternType="solid">
        <fgColor theme="0" tint="-4.9989318521683403E-2"/>
        <bgColor indexed="64"/>
      </patternFill>
    </fill>
  </fills>
  <borders count="70">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indexed="64"/>
      </left>
      <right/>
      <top/>
      <bottom style="thick">
        <color indexed="64"/>
      </bottom>
      <diagonal/>
    </border>
    <border>
      <left/>
      <right/>
      <top/>
      <bottom style="thick">
        <color auto="1"/>
      </bottom>
      <diagonal/>
    </border>
    <border>
      <left/>
      <right style="thick">
        <color indexed="64"/>
      </right>
      <top/>
      <bottom style="thick">
        <color indexed="64"/>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style="thin">
        <color rgb="FF000000"/>
      </right>
      <top style="thick">
        <color auto="1"/>
      </top>
      <bottom style="thick">
        <color auto="1"/>
      </bottom>
      <diagonal/>
    </border>
    <border>
      <left/>
      <right style="thin">
        <color auto="1"/>
      </right>
      <top style="thick">
        <color auto="1"/>
      </top>
      <bottom/>
      <diagonal/>
    </border>
    <border>
      <left/>
      <right style="thin">
        <color auto="1"/>
      </right>
      <top/>
      <bottom/>
      <diagonal/>
    </border>
    <border>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bottom style="thick">
        <color auto="1"/>
      </bottom>
      <diagonal/>
    </border>
    <border>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right/>
      <top style="thick">
        <color auto="1"/>
      </top>
      <bottom style="thick">
        <color auto="1"/>
      </bottom>
      <diagonal/>
    </border>
    <border>
      <left style="thin">
        <color auto="1"/>
      </left>
      <right/>
      <top style="thin">
        <color auto="1"/>
      </top>
      <bottom style="thick">
        <color auto="1"/>
      </bottom>
      <diagonal/>
    </border>
    <border>
      <left/>
      <right style="thin">
        <color rgb="FF000000"/>
      </right>
      <top/>
      <bottom/>
      <diagonal/>
    </border>
    <border>
      <left style="thick">
        <color auto="1"/>
      </left>
      <right style="thick">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style="thin">
        <color auto="1"/>
      </right>
      <top style="thick">
        <color auto="1"/>
      </top>
      <bottom/>
      <diagonal/>
    </border>
    <border>
      <left style="thin">
        <color auto="1"/>
      </left>
      <right style="thick">
        <color auto="1"/>
      </right>
      <top/>
      <bottom style="thin">
        <color auto="1"/>
      </bottom>
      <diagonal/>
    </border>
    <border>
      <left style="thin">
        <color auto="1"/>
      </left>
      <right style="thin">
        <color auto="1"/>
      </right>
      <top/>
      <bottom/>
      <diagonal/>
    </border>
    <border>
      <left style="thin">
        <color auto="1"/>
      </left>
      <right style="thick">
        <color auto="1"/>
      </right>
      <top/>
      <bottom/>
      <diagonal/>
    </border>
    <border>
      <left style="thick">
        <color auto="1"/>
      </left>
      <right style="thick">
        <color auto="1"/>
      </right>
      <top/>
      <bottom style="thick">
        <color auto="1"/>
      </bottom>
      <diagonal/>
    </border>
    <border>
      <left/>
      <right style="thin">
        <color rgb="FF000000"/>
      </right>
      <top style="thick">
        <color auto="1"/>
      </top>
      <bottom/>
      <diagonal/>
    </border>
    <border>
      <left/>
      <right style="thin">
        <color auto="1"/>
      </right>
      <top/>
      <bottom style="thick">
        <color auto="1"/>
      </bottom>
      <diagonal/>
    </border>
    <border>
      <left style="thick">
        <color auto="1"/>
      </left>
      <right style="thick">
        <color auto="1"/>
      </right>
      <top style="thick">
        <color auto="1"/>
      </top>
      <bottom/>
      <diagonal/>
    </border>
    <border>
      <left style="thin">
        <color auto="1"/>
      </left>
      <right style="thick">
        <color auto="1"/>
      </right>
      <top style="thin">
        <color auto="1"/>
      </top>
      <bottom style="thin">
        <color auto="1"/>
      </bottom>
      <diagonal/>
    </border>
    <border>
      <left style="thin">
        <color auto="1"/>
      </left>
      <right/>
      <top style="thick">
        <color auto="1"/>
      </top>
      <bottom style="thin">
        <color auto="1"/>
      </bottom>
      <diagonal/>
    </border>
    <border>
      <left style="thin">
        <color auto="1"/>
      </left>
      <right/>
      <top style="thin">
        <color auto="1"/>
      </top>
      <bottom style="thin">
        <color auto="1"/>
      </bottom>
      <diagonal/>
    </border>
    <border>
      <left style="thin">
        <color auto="1"/>
      </left>
      <right/>
      <top/>
      <bottom style="thick">
        <color auto="1"/>
      </bottom>
      <diagonal/>
    </border>
    <border>
      <left style="thin">
        <color auto="1"/>
      </left>
      <right style="thin">
        <color auto="1"/>
      </right>
      <top style="thin">
        <color auto="1"/>
      </top>
      <bottom/>
      <diagonal/>
    </border>
    <border>
      <left style="thick">
        <color auto="1"/>
      </left>
      <right style="thin">
        <color auto="1"/>
      </right>
      <top style="thick">
        <color auto="1"/>
      </top>
      <bottom style="thin">
        <color auto="1"/>
      </bottom>
      <diagonal/>
    </border>
    <border>
      <left style="thick">
        <color auto="1"/>
      </left>
      <right style="dashed">
        <color auto="1"/>
      </right>
      <top style="thick">
        <color auto="1"/>
      </top>
      <bottom style="dashed">
        <color auto="1"/>
      </bottom>
      <diagonal/>
    </border>
    <border>
      <left style="dashed">
        <color auto="1"/>
      </left>
      <right style="thick">
        <color auto="1"/>
      </right>
      <top style="thick">
        <color auto="1"/>
      </top>
      <bottom style="dashed">
        <color auto="1"/>
      </bottom>
      <diagonal/>
    </border>
    <border>
      <left style="thick">
        <color auto="1"/>
      </left>
      <right style="dashed">
        <color auto="1"/>
      </right>
      <top style="dashed">
        <color auto="1"/>
      </top>
      <bottom style="dashed">
        <color auto="1"/>
      </bottom>
      <diagonal/>
    </border>
    <border>
      <left style="dashed">
        <color auto="1"/>
      </left>
      <right style="thick">
        <color auto="1"/>
      </right>
      <top style="dashed">
        <color auto="1"/>
      </top>
      <bottom style="dashed">
        <color auto="1"/>
      </bottom>
      <diagonal/>
    </border>
    <border>
      <left style="thick">
        <color auto="1"/>
      </left>
      <right style="dashed">
        <color auto="1"/>
      </right>
      <top style="dashed">
        <color auto="1"/>
      </top>
      <bottom style="thick">
        <color auto="1"/>
      </bottom>
      <diagonal/>
    </border>
    <border>
      <left style="dashed">
        <color auto="1"/>
      </left>
      <right style="thick">
        <color auto="1"/>
      </right>
      <top style="dashed">
        <color auto="1"/>
      </top>
      <bottom style="thick">
        <color auto="1"/>
      </bottom>
      <diagonal/>
    </border>
    <border>
      <left style="mediumDashed">
        <color auto="1"/>
      </left>
      <right style="mediumDashed">
        <color auto="1"/>
      </right>
      <top style="mediumDashed">
        <color auto="1"/>
      </top>
      <bottom/>
      <diagonal/>
    </border>
    <border>
      <left style="mediumDashed">
        <color auto="1"/>
      </left>
      <right style="mediumDashed">
        <color auto="1"/>
      </right>
      <top/>
      <bottom/>
      <diagonal/>
    </border>
    <border>
      <left style="mediumDashed">
        <color auto="1"/>
      </left>
      <right style="mediumDashed">
        <color auto="1"/>
      </right>
      <top/>
      <bottom style="mediumDashed">
        <color auto="1"/>
      </bottom>
      <diagonal/>
    </border>
    <border>
      <left style="mediumDashed">
        <color auto="1"/>
      </left>
      <right/>
      <top/>
      <bottom/>
      <diagonal/>
    </border>
    <border>
      <left style="thick">
        <color auto="1"/>
      </left>
      <right style="thick">
        <color auto="1"/>
      </right>
      <top/>
      <bottom/>
      <diagonal/>
    </border>
    <border>
      <left/>
      <right/>
      <top style="mediumDashed">
        <color auto="1"/>
      </top>
      <bottom/>
      <diagonal/>
    </border>
    <border>
      <left/>
      <right/>
      <top/>
      <bottom style="mediumDashed">
        <color auto="1"/>
      </bottom>
      <diagonal/>
    </border>
    <border>
      <left style="thick">
        <color auto="1"/>
      </left>
      <right style="thick">
        <color auto="1"/>
      </right>
      <top style="hair">
        <color auto="1"/>
      </top>
      <bottom/>
      <diagonal/>
    </border>
    <border>
      <left/>
      <right style="thick">
        <color auto="1"/>
      </right>
      <top style="thick">
        <color auto="1"/>
      </top>
      <bottom style="thin">
        <color auto="1"/>
      </bottom>
      <diagonal/>
    </border>
    <border>
      <left style="thin">
        <color auto="1"/>
      </left>
      <right style="thick">
        <color auto="1"/>
      </right>
      <top/>
      <bottom style="thick">
        <color auto="1"/>
      </bottom>
      <diagonal/>
    </border>
    <border>
      <left/>
      <right style="thin">
        <color auto="1"/>
      </right>
      <top style="thick">
        <color auto="1"/>
      </top>
      <bottom style="thin">
        <color auto="1"/>
      </bottom>
      <diagonal/>
    </border>
    <border>
      <left/>
      <right/>
      <top style="thick">
        <color auto="1"/>
      </top>
      <bottom style="thin">
        <color auto="1"/>
      </bottom>
      <diagonal/>
    </border>
    <border>
      <left/>
      <right style="thin">
        <color auto="1"/>
      </right>
      <top/>
      <bottom style="thin">
        <color auto="1"/>
      </bottom>
      <diagonal/>
    </border>
    <border>
      <left/>
      <right/>
      <top/>
      <bottom style="thin">
        <color auto="1"/>
      </bottom>
      <diagonal/>
    </border>
    <border>
      <left style="thick">
        <color auto="1"/>
      </left>
      <right style="thin">
        <color auto="1"/>
      </right>
      <top/>
      <bottom style="thick">
        <color auto="1"/>
      </bottom>
      <diagonal/>
    </border>
    <border>
      <left/>
      <right style="thin">
        <color auto="1"/>
      </right>
      <top style="thin">
        <color auto="1"/>
      </top>
      <bottom/>
      <diagonal/>
    </border>
    <border>
      <left style="thick">
        <color auto="1"/>
      </left>
      <right/>
      <top style="thick">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6" fillId="0" borderId="0"/>
    <xf numFmtId="0" fontId="5" fillId="0" borderId="0"/>
    <xf numFmtId="0" fontId="3" fillId="0" borderId="0"/>
    <xf numFmtId="0" fontId="69" fillId="0" borderId="0"/>
    <xf numFmtId="0" fontId="2" fillId="0" borderId="0"/>
    <xf numFmtId="164" fontId="6" fillId="0" borderId="0" applyFont="0" applyFill="0" applyBorder="0" applyAlignment="0" applyProtection="0"/>
    <xf numFmtId="0" fontId="93" fillId="0" borderId="0" applyNumberFormat="0" applyFill="0" applyBorder="0" applyAlignment="0" applyProtection="0"/>
  </cellStyleXfs>
  <cellXfs count="717">
    <xf numFmtId="0" fontId="0" fillId="0" borderId="0" xfId="0"/>
    <xf numFmtId="0" fontId="8" fillId="2" borderId="1" xfId="0" applyFont="1" applyFill="1" applyBorder="1" applyAlignment="1">
      <alignment horizontal="center"/>
    </xf>
    <xf numFmtId="0" fontId="9" fillId="2" borderId="2" xfId="0" applyFont="1" applyFill="1" applyBorder="1" applyAlignment="1">
      <alignment horizontal="center"/>
    </xf>
    <xf numFmtId="0" fontId="10" fillId="2" borderId="9" xfId="0" applyFont="1" applyFill="1" applyBorder="1" applyAlignment="1">
      <alignment horizontal="center"/>
    </xf>
    <xf numFmtId="14" fontId="9" fillId="2" borderId="6" xfId="0" applyNumberFormat="1" applyFont="1" applyFill="1" applyBorder="1"/>
    <xf numFmtId="14" fontId="9" fillId="2" borderId="7" xfId="0" applyNumberFormat="1" applyFont="1" applyFill="1" applyBorder="1"/>
    <xf numFmtId="1" fontId="11" fillId="3" borderId="14" xfId="0" applyNumberFormat="1" applyFont="1" applyFill="1" applyBorder="1" applyAlignment="1">
      <alignment horizontal="center"/>
    </xf>
    <xf numFmtId="1" fontId="11" fillId="3" borderId="3" xfId="0" applyNumberFormat="1" applyFont="1" applyFill="1" applyBorder="1" applyAlignment="1">
      <alignment horizontal="center"/>
    </xf>
    <xf numFmtId="1" fontId="11" fillId="3" borderId="15" xfId="0" applyNumberFormat="1" applyFont="1" applyFill="1" applyBorder="1" applyAlignment="1">
      <alignment horizontal="center"/>
    </xf>
    <xf numFmtId="1" fontId="11" fillId="3" borderId="5" xfId="0" applyNumberFormat="1" applyFont="1" applyFill="1" applyBorder="1" applyAlignment="1">
      <alignment horizontal="center"/>
    </xf>
    <xf numFmtId="1" fontId="10" fillId="5" borderId="12" xfId="0" applyNumberFormat="1" applyFont="1" applyFill="1" applyBorder="1" applyAlignment="1">
      <alignment horizontal="center"/>
    </xf>
    <xf numFmtId="167" fontId="10" fillId="5" borderId="17" xfId="0" applyNumberFormat="1" applyFont="1" applyFill="1" applyBorder="1" applyAlignment="1">
      <alignment horizontal="center"/>
    </xf>
    <xf numFmtId="167" fontId="10" fillId="5" borderId="18" xfId="0" applyNumberFormat="1" applyFont="1" applyFill="1" applyBorder="1" applyAlignment="1">
      <alignment horizontal="center"/>
    </xf>
    <xf numFmtId="0" fontId="11" fillId="3" borderId="19" xfId="0" applyFont="1" applyFill="1" applyBorder="1" applyAlignment="1">
      <alignment horizontal="center" wrapText="1"/>
    </xf>
    <xf numFmtId="0" fontId="13" fillId="0" borderId="20" xfId="0" applyFont="1" applyBorder="1" applyAlignment="1">
      <alignment horizontal="center" wrapText="1"/>
    </xf>
    <xf numFmtId="1" fontId="14" fillId="0" borderId="9" xfId="0" applyNumberFormat="1" applyFont="1" applyBorder="1" applyAlignment="1" applyProtection="1">
      <alignment horizontal="center"/>
      <protection locked="0"/>
    </xf>
    <xf numFmtId="0" fontId="11" fillId="3" borderId="21" xfId="0" applyFont="1" applyFill="1" applyBorder="1" applyAlignment="1">
      <alignment horizontal="center" wrapText="1"/>
    </xf>
    <xf numFmtId="0" fontId="13" fillId="0" borderId="22" xfId="0" applyFont="1" applyBorder="1" applyAlignment="1">
      <alignment horizontal="center" wrapText="1"/>
    </xf>
    <xf numFmtId="1" fontId="14" fillId="0" borderId="22" xfId="0" applyNumberFormat="1" applyFont="1" applyBorder="1" applyAlignment="1" applyProtection="1">
      <alignment horizontal="center"/>
      <protection locked="0"/>
    </xf>
    <xf numFmtId="0" fontId="11" fillId="3" borderId="23" xfId="0" applyFont="1" applyFill="1" applyBorder="1" applyAlignment="1">
      <alignment horizontal="center" wrapText="1"/>
    </xf>
    <xf numFmtId="0" fontId="7" fillId="0" borderId="10" xfId="0" applyFont="1" applyBorder="1" applyAlignment="1">
      <alignment horizontal="center" wrapText="1"/>
    </xf>
    <xf numFmtId="1" fontId="15" fillId="0" borderId="24" xfId="0" applyNumberFormat="1" applyFont="1" applyBorder="1" applyAlignment="1">
      <alignment horizontal="center"/>
    </xf>
    <xf numFmtId="1" fontId="15" fillId="0" borderId="10" xfId="0" applyNumberFormat="1" applyFont="1" applyBorder="1" applyAlignment="1">
      <alignment horizontal="center"/>
    </xf>
    <xf numFmtId="167" fontId="10" fillId="2" borderId="12" xfId="0" applyNumberFormat="1" applyFont="1" applyFill="1" applyBorder="1" applyAlignment="1">
      <alignment horizontal="center"/>
    </xf>
    <xf numFmtId="167" fontId="10" fillId="2" borderId="16" xfId="0" applyNumberFormat="1" applyFont="1" applyFill="1" applyBorder="1" applyAlignment="1">
      <alignment horizontal="center"/>
    </xf>
    <xf numFmtId="167" fontId="10" fillId="2" borderId="17" xfId="0" applyNumberFormat="1" applyFont="1" applyFill="1" applyBorder="1" applyAlignment="1">
      <alignment horizontal="center"/>
    </xf>
    <xf numFmtId="167" fontId="10" fillId="2" borderId="18" xfId="0" applyNumberFormat="1" applyFont="1" applyFill="1" applyBorder="1" applyAlignment="1">
      <alignment horizontal="center"/>
    </xf>
    <xf numFmtId="0" fontId="11" fillId="3" borderId="6" xfId="0" applyFont="1" applyFill="1" applyBorder="1" applyAlignment="1">
      <alignment horizontal="center" wrapText="1"/>
    </xf>
    <xf numFmtId="0" fontId="11" fillId="3" borderId="12" xfId="0" applyFont="1" applyFill="1" applyBorder="1" applyAlignment="1">
      <alignment horizontal="center" wrapText="1"/>
    </xf>
    <xf numFmtId="0" fontId="11" fillId="3" borderId="4" xfId="0" applyFont="1" applyFill="1" applyBorder="1" applyAlignment="1">
      <alignment horizontal="center" wrapText="1"/>
    </xf>
    <xf numFmtId="0" fontId="7" fillId="0" borderId="25" xfId="0" applyFont="1" applyBorder="1" applyAlignment="1">
      <alignment horizontal="center" wrapText="1"/>
    </xf>
    <xf numFmtId="1" fontId="16" fillId="0" borderId="24" xfId="0" applyNumberFormat="1" applyFont="1" applyBorder="1" applyAlignment="1">
      <alignment horizontal="center"/>
    </xf>
    <xf numFmtId="1" fontId="16" fillId="0" borderId="10" xfId="0" applyNumberFormat="1" applyFont="1" applyBorder="1" applyAlignment="1">
      <alignment horizontal="center"/>
    </xf>
    <xf numFmtId="168" fontId="10" fillId="2" borderId="12" xfId="0" applyNumberFormat="1" applyFont="1" applyFill="1" applyBorder="1" applyAlignment="1">
      <alignment horizontal="center"/>
    </xf>
    <xf numFmtId="168" fontId="10" fillId="2" borderId="16" xfId="0" applyNumberFormat="1" applyFont="1" applyFill="1" applyBorder="1" applyAlignment="1">
      <alignment horizontal="center"/>
    </xf>
    <xf numFmtId="169" fontId="10" fillId="2" borderId="17" xfId="0" applyNumberFormat="1" applyFont="1" applyFill="1" applyBorder="1" applyAlignment="1">
      <alignment horizontal="center"/>
    </xf>
    <xf numFmtId="0" fontId="13" fillId="0" borderId="25" xfId="0" applyFont="1" applyBorder="1" applyAlignment="1">
      <alignment horizontal="center" wrapText="1"/>
    </xf>
    <xf numFmtId="168" fontId="17" fillId="2" borderId="16" xfId="0" applyNumberFormat="1" applyFont="1" applyFill="1" applyBorder="1" applyAlignment="1">
      <alignment horizontal="center"/>
    </xf>
    <xf numFmtId="0" fontId="13" fillId="0" borderId="20" xfId="0" applyFont="1" applyBorder="1" applyAlignment="1" applyProtection="1">
      <alignment horizontal="center" wrapText="1"/>
      <protection locked="0"/>
    </xf>
    <xf numFmtId="168" fontId="10" fillId="5" borderId="16" xfId="0" applyNumberFormat="1" applyFont="1" applyFill="1" applyBorder="1" applyAlignment="1">
      <alignment horizontal="center"/>
    </xf>
    <xf numFmtId="0" fontId="13" fillId="0" borderId="10" xfId="0" applyFont="1" applyBorder="1" applyAlignment="1">
      <alignment horizontal="center" wrapText="1"/>
    </xf>
    <xf numFmtId="1" fontId="14" fillId="0" borderId="20" xfId="0" applyNumberFormat="1" applyFont="1" applyBorder="1" applyAlignment="1" applyProtection="1">
      <alignment horizontal="center"/>
      <protection locked="0"/>
    </xf>
    <xf numFmtId="0" fontId="10" fillId="2" borderId="2" xfId="0" applyFont="1" applyFill="1" applyBorder="1"/>
    <xf numFmtId="3" fontId="10" fillId="2" borderId="2" xfId="0" applyNumberFormat="1" applyFont="1" applyFill="1" applyBorder="1" applyAlignment="1">
      <alignment horizontal="center"/>
    </xf>
    <xf numFmtId="0" fontId="0" fillId="2" borderId="3" xfId="0" applyFill="1" applyBorder="1"/>
    <xf numFmtId="4" fontId="10" fillId="2" borderId="7" xfId="0" applyNumberFormat="1" applyFont="1" applyFill="1" applyBorder="1" applyAlignment="1">
      <alignment horizontal="center"/>
    </xf>
    <xf numFmtId="0" fontId="6" fillId="0" borderId="0" xfId="0" applyFont="1"/>
    <xf numFmtId="10" fontId="18" fillId="0" borderId="0" xfId="0" applyNumberFormat="1" applyFont="1"/>
    <xf numFmtId="3" fontId="0" fillId="0" borderId="0" xfId="0" applyNumberFormat="1"/>
    <xf numFmtId="0" fontId="0" fillId="0" borderId="0" xfId="0" applyBorder="1" applyAlignment="1">
      <alignment wrapText="1"/>
    </xf>
    <xf numFmtId="1" fontId="14" fillId="0" borderId="0" xfId="0" applyNumberFormat="1" applyFont="1" applyBorder="1" applyAlignment="1" applyProtection="1">
      <alignment horizontal="center"/>
      <protection locked="0"/>
    </xf>
    <xf numFmtId="1" fontId="15" fillId="0" borderId="0" xfId="0" applyNumberFormat="1" applyFont="1" applyBorder="1" applyAlignment="1">
      <alignment horizontal="center"/>
    </xf>
    <xf numFmtId="1" fontId="16" fillId="0" borderId="0" xfId="0" applyNumberFormat="1" applyFont="1" applyBorder="1" applyAlignment="1">
      <alignment horizontal="center"/>
    </xf>
    <xf numFmtId="0" fontId="10" fillId="0" borderId="0" xfId="0" applyFont="1" applyFill="1" applyBorder="1" applyAlignment="1">
      <alignment horizontal="center"/>
    </xf>
    <xf numFmtId="49" fontId="0" fillId="0" borderId="0" xfId="0" applyNumberFormat="1" applyFill="1" applyBorder="1" applyAlignment="1">
      <alignment horizontal="center"/>
    </xf>
    <xf numFmtId="1" fontId="11" fillId="0" borderId="0" xfId="0" applyNumberFormat="1" applyFont="1" applyFill="1" applyBorder="1" applyAlignment="1">
      <alignment horizontal="center"/>
    </xf>
    <xf numFmtId="0" fontId="0" fillId="0" borderId="0" xfId="0" applyFill="1" applyBorder="1" applyAlignment="1">
      <alignment wrapText="1"/>
    </xf>
    <xf numFmtId="167" fontId="10" fillId="0" borderId="0" xfId="0" applyNumberFormat="1" applyFont="1" applyFill="1" applyBorder="1" applyAlignment="1">
      <alignment horizontal="center"/>
    </xf>
    <xf numFmtId="0" fontId="0" fillId="0" borderId="0" xfId="0" applyFill="1"/>
    <xf numFmtId="168" fontId="13" fillId="0" borderId="22" xfId="0" applyNumberFormat="1" applyFont="1" applyBorder="1" applyAlignment="1">
      <alignment horizontal="center" wrapText="1"/>
    </xf>
    <xf numFmtId="168" fontId="13" fillId="0" borderId="25" xfId="0" applyNumberFormat="1" applyFont="1" applyBorder="1" applyAlignment="1">
      <alignment horizontal="center" wrapText="1"/>
    </xf>
    <xf numFmtId="0" fontId="10" fillId="2" borderId="26" xfId="0" applyFont="1" applyFill="1" applyBorder="1" applyAlignment="1">
      <alignment horizontal="center"/>
    </xf>
    <xf numFmtId="0" fontId="21" fillId="0" borderId="0" xfId="0" applyFont="1" applyBorder="1" applyAlignment="1" applyProtection="1">
      <alignment wrapText="1"/>
      <protection locked="0"/>
    </xf>
    <xf numFmtId="49" fontId="20" fillId="0" borderId="0" xfId="0" applyNumberFormat="1" applyFont="1" applyFill="1" applyBorder="1" applyAlignment="1" applyProtection="1">
      <alignment horizontal="center"/>
      <protection locked="0"/>
    </xf>
    <xf numFmtId="1" fontId="14" fillId="0" borderId="0" xfId="0" applyNumberFormat="1" applyFont="1" applyFill="1" applyBorder="1" applyAlignment="1" applyProtection="1">
      <alignment horizontal="center"/>
      <protection locked="0"/>
    </xf>
    <xf numFmtId="1" fontId="15" fillId="0" borderId="0" xfId="0" applyNumberFormat="1" applyFont="1" applyFill="1" applyBorder="1" applyAlignment="1">
      <alignment horizontal="center"/>
    </xf>
    <xf numFmtId="1" fontId="16" fillId="0" borderId="0" xfId="0" applyNumberFormat="1" applyFont="1" applyFill="1" applyBorder="1" applyAlignment="1">
      <alignment horizontal="center"/>
    </xf>
    <xf numFmtId="0" fontId="6" fillId="0" borderId="0" xfId="0" applyFont="1" applyFill="1"/>
    <xf numFmtId="3" fontId="0" fillId="0" borderId="0" xfId="0" applyNumberFormat="1" applyFill="1"/>
    <xf numFmtId="1" fontId="24" fillId="6" borderId="12" xfId="0" applyNumberFormat="1" applyFont="1" applyFill="1" applyBorder="1" applyAlignment="1">
      <alignment horizontal="center"/>
    </xf>
    <xf numFmtId="0" fontId="24" fillId="6" borderId="18" xfId="0" applyFont="1" applyFill="1" applyBorder="1" applyAlignment="1">
      <alignment horizontal="center"/>
    </xf>
    <xf numFmtId="0" fontId="24" fillId="0" borderId="0" xfId="0" applyFont="1" applyFill="1" applyBorder="1"/>
    <xf numFmtId="1" fontId="19" fillId="0" borderId="4" xfId="0" applyNumberFormat="1" applyFont="1" applyFill="1" applyBorder="1" applyAlignment="1">
      <alignment horizontal="center"/>
    </xf>
    <xf numFmtId="10" fontId="26" fillId="6" borderId="12" xfId="0" applyNumberFormat="1" applyFont="1" applyFill="1" applyBorder="1" applyAlignment="1" applyProtection="1">
      <alignment horizontal="center"/>
    </xf>
    <xf numFmtId="2" fontId="25" fillId="2" borderId="2" xfId="0" applyNumberFormat="1" applyFont="1" applyFill="1" applyBorder="1" applyAlignment="1">
      <alignment horizontal="center"/>
    </xf>
    <xf numFmtId="2" fontId="19" fillId="2" borderId="2" xfId="0" applyNumberFormat="1" applyFont="1" applyFill="1" applyBorder="1" applyAlignment="1">
      <alignment horizontal="center"/>
    </xf>
    <xf numFmtId="2" fontId="25" fillId="2" borderId="7" xfId="0" applyNumberFormat="1" applyFont="1" applyFill="1" applyBorder="1" applyAlignment="1">
      <alignment horizontal="center"/>
    </xf>
    <xf numFmtId="2" fontId="19" fillId="2" borderId="7" xfId="0" applyNumberFormat="1" applyFont="1" applyFill="1" applyBorder="1" applyAlignment="1">
      <alignment horizontal="center"/>
    </xf>
    <xf numFmtId="167" fontId="10" fillId="5" borderId="12" xfId="0" applyNumberFormat="1" applyFont="1" applyFill="1" applyBorder="1" applyAlignment="1">
      <alignment horizontal="center"/>
    </xf>
    <xf numFmtId="1" fontId="29" fillId="3" borderId="16" xfId="0" applyNumberFormat="1" applyFont="1" applyFill="1" applyBorder="1" applyAlignment="1">
      <alignment horizontal="center"/>
    </xf>
    <xf numFmtId="1" fontId="12" fillId="3" borderId="16" xfId="0" applyNumberFormat="1" applyFont="1" applyFill="1" applyBorder="1" applyAlignment="1">
      <alignment horizontal="center"/>
    </xf>
    <xf numFmtId="1" fontId="12" fillId="3" borderId="18" xfId="0" applyNumberFormat="1" applyFont="1" applyFill="1" applyBorder="1" applyAlignment="1">
      <alignment horizontal="center"/>
    </xf>
    <xf numFmtId="1" fontId="30" fillId="3" borderId="15" xfId="0" applyNumberFormat="1" applyFont="1" applyFill="1" applyBorder="1" applyAlignment="1">
      <alignment horizontal="center"/>
    </xf>
    <xf numFmtId="1" fontId="17" fillId="2" borderId="30" xfId="0" applyNumberFormat="1" applyFont="1" applyFill="1" applyBorder="1" applyAlignment="1">
      <alignment horizontal="center"/>
    </xf>
    <xf numFmtId="1" fontId="31" fillId="6" borderId="12" xfId="0" applyNumberFormat="1" applyFont="1" applyFill="1" applyBorder="1" applyAlignment="1">
      <alignment horizontal="center"/>
    </xf>
    <xf numFmtId="10" fontId="31" fillId="6" borderId="16" xfId="0" applyNumberFormat="1" applyFont="1" applyFill="1" applyBorder="1" applyAlignment="1">
      <alignment horizontal="center"/>
    </xf>
    <xf numFmtId="10" fontId="31" fillId="6" borderId="17" xfId="0" applyNumberFormat="1" applyFont="1" applyFill="1" applyBorder="1" applyAlignment="1">
      <alignment horizontal="center"/>
    </xf>
    <xf numFmtId="10" fontId="31" fillId="6" borderId="31" xfId="0" applyNumberFormat="1" applyFont="1" applyFill="1" applyBorder="1" applyAlignment="1">
      <alignment horizontal="center"/>
    </xf>
    <xf numFmtId="1" fontId="17" fillId="0" borderId="32" xfId="0" applyNumberFormat="1" applyFont="1" applyBorder="1" applyAlignment="1">
      <alignment horizontal="center"/>
    </xf>
    <xf numFmtId="1" fontId="10" fillId="0" borderId="26" xfId="0" applyNumberFormat="1" applyFont="1" applyBorder="1" applyAlignment="1">
      <alignment horizontal="center"/>
    </xf>
    <xf numFmtId="1" fontId="17" fillId="0" borderId="22" xfId="0" applyNumberFormat="1" applyFont="1" applyBorder="1" applyAlignment="1">
      <alignment horizontal="center"/>
    </xf>
    <xf numFmtId="1" fontId="10" fillId="0" borderId="33" xfId="0" applyNumberFormat="1" applyFont="1" applyBorder="1" applyAlignment="1">
      <alignment horizontal="center"/>
    </xf>
    <xf numFmtId="0" fontId="13" fillId="0" borderId="15" xfId="0" applyFont="1" applyBorder="1" applyAlignment="1">
      <alignment horizontal="center" wrapText="1"/>
    </xf>
    <xf numFmtId="1" fontId="17" fillId="0" borderId="34" xfId="0" applyNumberFormat="1" applyFont="1" applyBorder="1" applyAlignment="1">
      <alignment horizontal="center"/>
    </xf>
    <xf numFmtId="1" fontId="17" fillId="0" borderId="35" xfId="0" applyNumberFormat="1" applyFont="1" applyBorder="1" applyAlignment="1">
      <alignment horizontal="center"/>
    </xf>
    <xf numFmtId="1" fontId="33" fillId="6" borderId="17" xfId="0" applyNumberFormat="1" applyFont="1" applyFill="1" applyBorder="1" applyAlignment="1">
      <alignment horizontal="center"/>
    </xf>
    <xf numFmtId="1" fontId="33" fillId="6" borderId="31" xfId="0" applyNumberFormat="1" applyFont="1" applyFill="1" applyBorder="1" applyAlignment="1">
      <alignment horizontal="center"/>
    </xf>
    <xf numFmtId="170" fontId="31" fillId="6" borderId="27" xfId="0" applyNumberFormat="1" applyFont="1" applyFill="1" applyBorder="1" applyAlignment="1">
      <alignment horizontal="center"/>
    </xf>
    <xf numFmtId="170" fontId="31" fillId="6" borderId="18" xfId="0" applyNumberFormat="1" applyFont="1" applyFill="1" applyBorder="1" applyAlignment="1">
      <alignment horizontal="center"/>
    </xf>
    <xf numFmtId="1" fontId="17" fillId="7" borderId="30" xfId="0" applyNumberFormat="1" applyFont="1" applyFill="1" applyBorder="1" applyAlignment="1">
      <alignment horizontal="center"/>
    </xf>
    <xf numFmtId="1" fontId="17" fillId="0" borderId="9" xfId="0" applyNumberFormat="1" applyFont="1" applyBorder="1" applyAlignment="1">
      <alignment horizontal="center"/>
    </xf>
    <xf numFmtId="1" fontId="17" fillId="0" borderId="20" xfId="0" applyNumberFormat="1" applyFont="1" applyBorder="1" applyAlignment="1">
      <alignment horizontal="center"/>
    </xf>
    <xf numFmtId="1" fontId="26" fillId="4" borderId="16" xfId="0" applyNumberFormat="1" applyFont="1" applyFill="1" applyBorder="1" applyAlignment="1">
      <alignment horizontal="center"/>
    </xf>
    <xf numFmtId="1" fontId="34" fillId="3" borderId="5" xfId="0" applyNumberFormat="1" applyFont="1" applyFill="1" applyBorder="1" applyAlignment="1">
      <alignment horizontal="center"/>
    </xf>
    <xf numFmtId="1" fontId="34" fillId="3" borderId="18" xfId="0" applyNumberFormat="1" applyFont="1" applyFill="1" applyBorder="1" applyAlignment="1">
      <alignment horizontal="center"/>
    </xf>
    <xf numFmtId="2" fontId="31" fillId="6" borderId="27" xfId="0" applyNumberFormat="1" applyFont="1" applyFill="1" applyBorder="1" applyAlignment="1">
      <alignment horizontal="center"/>
    </xf>
    <xf numFmtId="2" fontId="31" fillId="6" borderId="18" xfId="0" applyNumberFormat="1" applyFont="1" applyFill="1" applyBorder="1" applyAlignment="1">
      <alignment horizontal="center"/>
    </xf>
    <xf numFmtId="0" fontId="29" fillId="2" borderId="1" xfId="0" applyFont="1" applyFill="1" applyBorder="1" applyAlignment="1">
      <alignment horizontal="center"/>
    </xf>
    <xf numFmtId="0" fontId="29" fillId="2" borderId="3" xfId="0" applyFont="1" applyFill="1" applyBorder="1" applyAlignment="1">
      <alignment horizontal="center"/>
    </xf>
    <xf numFmtId="49" fontId="29" fillId="2" borderId="6" xfId="0" applyNumberFormat="1" applyFont="1" applyFill="1" applyBorder="1" applyAlignment="1" applyProtection="1">
      <alignment horizontal="center"/>
      <protection locked="0"/>
    </xf>
    <xf numFmtId="49" fontId="29" fillId="2" borderId="8" xfId="0" applyNumberFormat="1" applyFont="1" applyFill="1" applyBorder="1" applyAlignment="1" applyProtection="1">
      <alignment horizontal="center"/>
      <protection locked="0"/>
    </xf>
    <xf numFmtId="0" fontId="21" fillId="0" borderId="0" xfId="0" applyFont="1"/>
    <xf numFmtId="1" fontId="10" fillId="5" borderId="6" xfId="0" applyNumberFormat="1" applyFont="1" applyFill="1" applyBorder="1" applyAlignment="1">
      <alignment horizontal="center"/>
    </xf>
    <xf numFmtId="167" fontId="10" fillId="5" borderId="38" xfId="0" applyNumberFormat="1" applyFont="1" applyFill="1" applyBorder="1" applyAlignment="1">
      <alignment horizontal="center"/>
    </xf>
    <xf numFmtId="167" fontId="10" fillId="5" borderId="24" xfId="0" applyNumberFormat="1" applyFont="1" applyFill="1" applyBorder="1" applyAlignment="1">
      <alignment horizontal="center"/>
    </xf>
    <xf numFmtId="1" fontId="24" fillId="6" borderId="39" xfId="0" applyNumberFormat="1" applyFont="1" applyFill="1" applyBorder="1" applyAlignment="1">
      <alignment horizontal="center"/>
    </xf>
    <xf numFmtId="1" fontId="15" fillId="0" borderId="11" xfId="0" applyNumberFormat="1" applyFont="1" applyBorder="1" applyAlignment="1">
      <alignment horizontal="center"/>
    </xf>
    <xf numFmtId="1" fontId="14" fillId="0" borderId="41" xfId="0" applyNumberFormat="1" applyFont="1" applyBorder="1" applyAlignment="1" applyProtection="1">
      <alignment horizontal="center"/>
      <protection locked="0"/>
    </xf>
    <xf numFmtId="1" fontId="14" fillId="0" borderId="42" xfId="0" applyNumberFormat="1" applyFont="1" applyBorder="1" applyAlignment="1" applyProtection="1">
      <alignment horizontal="center"/>
      <protection locked="0"/>
    </xf>
    <xf numFmtId="1" fontId="16" fillId="0" borderId="28" xfId="0" applyNumberFormat="1" applyFont="1" applyBorder="1" applyAlignment="1">
      <alignment horizontal="center"/>
    </xf>
    <xf numFmtId="167" fontId="10" fillId="2" borderId="27" xfId="0" applyNumberFormat="1" applyFont="1" applyFill="1" applyBorder="1" applyAlignment="1">
      <alignment horizontal="center"/>
    </xf>
    <xf numFmtId="167" fontId="10" fillId="2" borderId="31" xfId="0" applyNumberFormat="1" applyFont="1" applyFill="1" applyBorder="1" applyAlignment="1">
      <alignment horizontal="center"/>
    </xf>
    <xf numFmtId="1" fontId="16" fillId="0" borderId="43" xfId="0" applyNumberFormat="1" applyFont="1" applyBorder="1" applyAlignment="1">
      <alignment horizontal="center"/>
    </xf>
    <xf numFmtId="167" fontId="10" fillId="5" borderId="27" xfId="0" applyNumberFormat="1" applyFont="1" applyFill="1" applyBorder="1" applyAlignment="1">
      <alignment horizontal="center"/>
    </xf>
    <xf numFmtId="167" fontId="10" fillId="5" borderId="31" xfId="0" applyNumberFormat="1" applyFont="1" applyFill="1" applyBorder="1" applyAlignment="1">
      <alignment horizontal="center"/>
    </xf>
    <xf numFmtId="0" fontId="7" fillId="0" borderId="44" xfId="0" applyFont="1" applyBorder="1" applyAlignment="1">
      <alignment horizontal="center" wrapText="1"/>
    </xf>
    <xf numFmtId="1" fontId="16" fillId="0" borderId="34" xfId="0" applyNumberFormat="1" applyFont="1" applyBorder="1" applyAlignment="1">
      <alignment horizontal="center"/>
    </xf>
    <xf numFmtId="168" fontId="10" fillId="5" borderId="38" xfId="0" applyNumberFormat="1" applyFont="1" applyFill="1" applyBorder="1" applyAlignment="1">
      <alignment horizontal="center"/>
    </xf>
    <xf numFmtId="167" fontId="10" fillId="5" borderId="7" xfId="0" applyNumberFormat="1" applyFont="1" applyFill="1" applyBorder="1" applyAlignment="1">
      <alignment horizontal="center"/>
    </xf>
    <xf numFmtId="1" fontId="17" fillId="0" borderId="26" xfId="0" applyNumberFormat="1" applyFont="1" applyBorder="1" applyAlignment="1" applyProtection="1">
      <alignment horizontal="center"/>
    </xf>
    <xf numFmtId="1" fontId="17" fillId="0" borderId="40" xfId="0" applyNumberFormat="1" applyFont="1" applyBorder="1" applyAlignment="1" applyProtection="1">
      <alignment horizontal="center"/>
    </xf>
    <xf numFmtId="1" fontId="19" fillId="0" borderId="0" xfId="0" applyNumberFormat="1" applyFont="1" applyFill="1" applyBorder="1" applyAlignment="1">
      <alignment horizontal="center"/>
    </xf>
    <xf numFmtId="0" fontId="24" fillId="0" borderId="0" xfId="0" applyFont="1" applyFill="1" applyBorder="1" applyAlignment="1">
      <alignment wrapText="1"/>
    </xf>
    <xf numFmtId="10" fontId="17" fillId="0" borderId="45" xfId="0" applyNumberFormat="1" applyFont="1" applyFill="1" applyBorder="1" applyAlignment="1" applyProtection="1">
      <alignment horizontal="center"/>
    </xf>
    <xf numFmtId="10" fontId="14" fillId="0" borderId="26" xfId="0" applyNumberFormat="1" applyFont="1" applyFill="1" applyBorder="1" applyAlignment="1" applyProtection="1">
      <alignment horizontal="center"/>
      <protection locked="0"/>
    </xf>
    <xf numFmtId="10" fontId="17" fillId="0" borderId="21" xfId="0" applyNumberFormat="1" applyFont="1" applyFill="1" applyBorder="1" applyAlignment="1" applyProtection="1">
      <alignment horizontal="center"/>
    </xf>
    <xf numFmtId="10" fontId="14" fillId="0" borderId="40" xfId="0" applyNumberFormat="1" applyFont="1" applyFill="1" applyBorder="1" applyAlignment="1" applyProtection="1">
      <alignment horizontal="center"/>
      <protection locked="0"/>
    </xf>
    <xf numFmtId="1" fontId="17" fillId="0" borderId="23" xfId="0" applyNumberFormat="1" applyFont="1" applyFill="1" applyBorder="1" applyAlignment="1" applyProtection="1">
      <alignment horizontal="center"/>
    </xf>
    <xf numFmtId="10" fontId="27" fillId="0" borderId="11" xfId="0" applyNumberFormat="1" applyFont="1" applyFill="1" applyBorder="1" applyAlignment="1" applyProtection="1">
      <alignment horizontal="center"/>
    </xf>
    <xf numFmtId="10" fontId="23" fillId="0" borderId="26" xfId="0" applyNumberFormat="1" applyFont="1" applyFill="1" applyBorder="1" applyAlignment="1" applyProtection="1">
      <alignment horizontal="center"/>
    </xf>
    <xf numFmtId="10" fontId="23" fillId="0" borderId="40" xfId="0" applyNumberFormat="1" applyFont="1" applyFill="1" applyBorder="1" applyAlignment="1" applyProtection="1">
      <alignment horizontal="center"/>
    </xf>
    <xf numFmtId="10" fontId="23" fillId="0" borderId="11" xfId="0" applyNumberFormat="1" applyFont="1" applyFill="1" applyBorder="1" applyAlignment="1" applyProtection="1">
      <alignment horizontal="center"/>
    </xf>
    <xf numFmtId="10" fontId="17" fillId="0" borderId="46" xfId="0" applyNumberFormat="1" applyFont="1" applyFill="1" applyBorder="1" applyAlignment="1" applyProtection="1">
      <alignment horizontal="center"/>
    </xf>
    <xf numFmtId="10" fontId="23" fillId="0" borderId="47" xfId="0" applyNumberFormat="1" applyFont="1" applyFill="1" applyBorder="1" applyAlignment="1" applyProtection="1">
      <alignment horizontal="center"/>
    </xf>
    <xf numFmtId="10" fontId="17" fillId="0" borderId="48" xfId="0" applyNumberFormat="1" applyFont="1" applyFill="1" applyBorder="1" applyAlignment="1" applyProtection="1">
      <alignment horizontal="center"/>
    </xf>
    <xf numFmtId="10" fontId="23" fillId="0" borderId="49" xfId="0" applyNumberFormat="1" applyFont="1" applyFill="1" applyBorder="1" applyAlignment="1" applyProtection="1">
      <alignment horizontal="center"/>
    </xf>
    <xf numFmtId="1" fontId="17" fillId="0" borderId="50" xfId="0" applyNumberFormat="1" applyFont="1" applyFill="1" applyBorder="1" applyAlignment="1" applyProtection="1">
      <alignment horizontal="center"/>
    </xf>
    <xf numFmtId="10" fontId="27" fillId="0" borderId="51" xfId="0" applyNumberFormat="1" applyFont="1" applyFill="1" applyBorder="1" applyAlignment="1" applyProtection="1">
      <alignment horizontal="center"/>
    </xf>
    <xf numFmtId="10" fontId="26" fillId="6" borderId="18" xfId="0" applyNumberFormat="1" applyFont="1" applyFill="1" applyBorder="1" applyAlignment="1" applyProtection="1">
      <alignment horizontal="center"/>
    </xf>
    <xf numFmtId="0" fontId="6" fillId="0" borderId="0" xfId="1"/>
    <xf numFmtId="0" fontId="6" fillId="8" borderId="0" xfId="1" applyFill="1"/>
    <xf numFmtId="0" fontId="5" fillId="2" borderId="2" xfId="2" applyFill="1" applyBorder="1"/>
    <xf numFmtId="0" fontId="5" fillId="2" borderId="0" xfId="2" applyFill="1"/>
    <xf numFmtId="0" fontId="45" fillId="2" borderId="0" xfId="2" applyFont="1" applyFill="1" applyAlignment="1">
      <alignment horizontal="center"/>
    </xf>
    <xf numFmtId="0" fontId="46" fillId="2" borderId="0" xfId="2" applyFont="1" applyFill="1" applyAlignment="1">
      <alignment horizontal="center"/>
    </xf>
    <xf numFmtId="0" fontId="6" fillId="2" borderId="0" xfId="1" applyFill="1"/>
    <xf numFmtId="0" fontId="47" fillId="2" borderId="0" xfId="2" applyFont="1" applyFill="1" applyAlignment="1">
      <alignment horizontal="center"/>
    </xf>
    <xf numFmtId="0" fontId="5" fillId="2" borderId="0" xfId="2" applyFill="1" applyAlignment="1">
      <alignment horizontal="center"/>
    </xf>
    <xf numFmtId="165" fontId="38" fillId="9" borderId="0" xfId="2" applyNumberFormat="1" applyFont="1" applyFill="1" applyAlignment="1">
      <alignment horizontal="center"/>
    </xf>
    <xf numFmtId="3" fontId="38" fillId="9" borderId="0" xfId="2" applyNumberFormat="1" applyFont="1" applyFill="1" applyAlignment="1">
      <alignment horizontal="center"/>
    </xf>
    <xf numFmtId="39" fontId="38" fillId="9" borderId="0" xfId="2" applyNumberFormat="1" applyFont="1" applyFill="1" applyAlignment="1">
      <alignment horizontal="center"/>
    </xf>
    <xf numFmtId="39" fontId="48" fillId="9" borderId="0" xfId="2" applyNumberFormat="1" applyFont="1" applyFill="1" applyAlignment="1" applyProtection="1">
      <alignment horizontal="center"/>
      <protection locked="0"/>
    </xf>
    <xf numFmtId="171" fontId="38" fillId="9" borderId="0" xfId="2" applyNumberFormat="1" applyFont="1" applyFill="1" applyAlignment="1">
      <alignment horizontal="center"/>
    </xf>
    <xf numFmtId="0" fontId="5" fillId="2" borderId="7" xfId="2" applyFill="1" applyBorder="1" applyAlignment="1">
      <alignment horizontal="center"/>
    </xf>
    <xf numFmtId="0" fontId="49" fillId="0" borderId="0" xfId="1" applyFont="1"/>
    <xf numFmtId="0" fontId="5" fillId="10" borderId="2" xfId="2" applyFill="1" applyBorder="1"/>
    <xf numFmtId="0" fontId="5" fillId="10" borderId="0" xfId="2" applyFill="1"/>
    <xf numFmtId="0" fontId="45" fillId="10" borderId="0" xfId="2" applyFont="1" applyFill="1" applyAlignment="1">
      <alignment horizontal="center"/>
    </xf>
    <xf numFmtId="0" fontId="46" fillId="10" borderId="0" xfId="2" applyFont="1" applyFill="1" applyAlignment="1">
      <alignment horizontal="center"/>
    </xf>
    <xf numFmtId="0" fontId="6" fillId="10" borderId="0" xfId="1" applyFill="1"/>
    <xf numFmtId="0" fontId="47" fillId="10" borderId="0" xfId="2" applyFont="1" applyFill="1" applyAlignment="1">
      <alignment horizontal="center"/>
    </xf>
    <xf numFmtId="0" fontId="5" fillId="10" borderId="0" xfId="2" applyFill="1" applyAlignment="1">
      <alignment horizontal="center"/>
    </xf>
    <xf numFmtId="0" fontId="5" fillId="10" borderId="7" xfId="2" applyFill="1" applyBorder="1" applyAlignment="1">
      <alignment horizontal="center"/>
    </xf>
    <xf numFmtId="0" fontId="5" fillId="11" borderId="2" xfId="2" applyFill="1" applyBorder="1"/>
    <xf numFmtId="0" fontId="5" fillId="11" borderId="0" xfId="2" applyFill="1"/>
    <xf numFmtId="0" fontId="45" fillId="11" borderId="0" xfId="2" applyFont="1" applyFill="1" applyAlignment="1">
      <alignment horizontal="center"/>
    </xf>
    <xf numFmtId="0" fontId="46" fillId="11" borderId="0" xfId="2" applyFont="1" applyFill="1" applyAlignment="1">
      <alignment horizontal="center"/>
    </xf>
    <xf numFmtId="0" fontId="6" fillId="11" borderId="0" xfId="1" applyFill="1"/>
    <xf numFmtId="0" fontId="47" fillId="11" borderId="0" xfId="2" applyFont="1" applyFill="1" applyAlignment="1">
      <alignment horizontal="center"/>
    </xf>
    <xf numFmtId="0" fontId="5" fillId="11" borderId="0" xfId="2" applyFill="1" applyAlignment="1">
      <alignment horizontal="center"/>
    </xf>
    <xf numFmtId="0" fontId="5" fillId="11" borderId="7" xfId="2" applyFill="1" applyBorder="1" applyAlignment="1">
      <alignment horizontal="center"/>
    </xf>
    <xf numFmtId="0" fontId="50" fillId="8" borderId="0" xfId="1" applyFont="1" applyFill="1"/>
    <xf numFmtId="0" fontId="50" fillId="0" borderId="0" xfId="1" applyFont="1"/>
    <xf numFmtId="0" fontId="5" fillId="12" borderId="2" xfId="2" applyFill="1" applyBorder="1"/>
    <xf numFmtId="0" fontId="5" fillId="12" borderId="0" xfId="2" applyFill="1"/>
    <xf numFmtId="0" fontId="45" fillId="12" borderId="0" xfId="2" applyFont="1" applyFill="1" applyAlignment="1">
      <alignment horizontal="center"/>
    </xf>
    <xf numFmtId="0" fontId="46" fillId="12" borderId="0" xfId="2" applyFont="1" applyFill="1" applyAlignment="1">
      <alignment horizontal="center"/>
    </xf>
    <xf numFmtId="0" fontId="6" fillId="12" borderId="0" xfId="1" applyFill="1"/>
    <xf numFmtId="0" fontId="47" fillId="12" borderId="0" xfId="2" applyFont="1" applyFill="1" applyAlignment="1">
      <alignment horizontal="center"/>
    </xf>
    <xf numFmtId="0" fontId="5" fillId="12" borderId="0" xfId="2" applyFill="1" applyAlignment="1">
      <alignment horizontal="center"/>
    </xf>
    <xf numFmtId="0" fontId="5" fillId="12" borderId="7" xfId="2" applyFill="1" applyBorder="1" applyAlignment="1">
      <alignment horizontal="center"/>
    </xf>
    <xf numFmtId="0" fontId="39" fillId="6" borderId="2" xfId="2" applyFont="1" applyFill="1" applyBorder="1"/>
    <xf numFmtId="0" fontId="39" fillId="6" borderId="0" xfId="2" applyFont="1" applyFill="1"/>
    <xf numFmtId="0" fontId="56" fillId="6" borderId="0" xfId="2" applyFont="1" applyFill="1" applyAlignment="1">
      <alignment horizontal="center"/>
    </xf>
    <xf numFmtId="0" fontId="57" fillId="6" borderId="0" xfId="2" applyFont="1" applyFill="1" applyAlignment="1">
      <alignment horizontal="center"/>
    </xf>
    <xf numFmtId="0" fontId="30" fillId="6" borderId="0" xfId="1" applyFont="1" applyFill="1"/>
    <xf numFmtId="0" fontId="58" fillId="6" borderId="0" xfId="2" applyFont="1" applyFill="1" applyAlignment="1">
      <alignment horizontal="center"/>
    </xf>
    <xf numFmtId="0" fontId="39" fillId="6" borderId="0" xfId="2" applyFont="1" applyFill="1" applyAlignment="1">
      <alignment horizontal="center"/>
    </xf>
    <xf numFmtId="172" fontId="38" fillId="9" borderId="0" xfId="2" applyNumberFormat="1" applyFont="1" applyFill="1" applyAlignment="1">
      <alignment horizontal="center"/>
    </xf>
    <xf numFmtId="0" fontId="39" fillId="6" borderId="7" xfId="2" applyFont="1" applyFill="1" applyBorder="1" applyAlignment="1">
      <alignment horizontal="center"/>
    </xf>
    <xf numFmtId="0" fontId="59" fillId="0" borderId="0" xfId="1" applyFont="1"/>
    <xf numFmtId="0" fontId="19" fillId="0" borderId="0" xfId="1" applyFont="1"/>
    <xf numFmtId="0" fontId="52" fillId="0" borderId="0" xfId="0" applyFont="1" applyFill="1" applyBorder="1" applyAlignment="1">
      <alignment horizontal="center" vertical="center" wrapText="1"/>
    </xf>
    <xf numFmtId="0" fontId="5" fillId="0" borderId="0" xfId="2" applyFill="1" applyBorder="1" applyAlignment="1">
      <alignment horizontal="center" vertical="center" wrapText="1"/>
    </xf>
    <xf numFmtId="0" fontId="5" fillId="0" borderId="0" xfId="2" applyFill="1" applyBorder="1" applyAlignment="1">
      <alignment horizontal="center"/>
    </xf>
    <xf numFmtId="0" fontId="6" fillId="0" borderId="0" xfId="1" applyFill="1"/>
    <xf numFmtId="0" fontId="6" fillId="0" borderId="0" xfId="1" applyAlignment="1"/>
    <xf numFmtId="0" fontId="0" fillId="0" borderId="0" xfId="0" applyAlignment="1"/>
    <xf numFmtId="171" fontId="48" fillId="9" borderId="0" xfId="2" applyNumberFormat="1" applyFont="1" applyFill="1" applyAlignment="1" applyProtection="1">
      <alignment horizontal="center"/>
      <protection locked="0"/>
    </xf>
    <xf numFmtId="0" fontId="4" fillId="10" borderId="0" xfId="2" applyFont="1" applyFill="1"/>
    <xf numFmtId="0" fontId="38" fillId="2" borderId="2" xfId="2" applyFont="1" applyFill="1" applyBorder="1" applyAlignment="1">
      <alignment horizontal="center"/>
    </xf>
    <xf numFmtId="0" fontId="38" fillId="10" borderId="2" xfId="2" applyFont="1" applyFill="1" applyBorder="1" applyAlignment="1">
      <alignment horizontal="center"/>
    </xf>
    <xf numFmtId="0" fontId="38" fillId="11" borderId="2" xfId="2" applyFont="1" applyFill="1" applyBorder="1" applyAlignment="1">
      <alignment horizontal="center"/>
    </xf>
    <xf numFmtId="0" fontId="5" fillId="12" borderId="2" xfId="2" applyFill="1" applyBorder="1" applyAlignment="1">
      <alignment horizontal="center"/>
    </xf>
    <xf numFmtId="0" fontId="38" fillId="12" borderId="2" xfId="2" applyFont="1" applyFill="1" applyBorder="1" applyAlignment="1">
      <alignment horizontal="center"/>
    </xf>
    <xf numFmtId="0" fontId="38" fillId="11" borderId="0" xfId="2" applyFont="1" applyFill="1" applyAlignment="1">
      <alignment horizontal="center"/>
    </xf>
    <xf numFmtId="0" fontId="60" fillId="6" borderId="2" xfId="2" applyFont="1" applyFill="1" applyBorder="1" applyAlignment="1">
      <alignment horizontal="center"/>
    </xf>
    <xf numFmtId="0" fontId="3" fillId="0" borderId="0" xfId="3"/>
    <xf numFmtId="1" fontId="62" fillId="0" borderId="0" xfId="1" applyNumberFormat="1" applyFont="1" applyAlignment="1">
      <alignment horizontal="center"/>
    </xf>
    <xf numFmtId="2" fontId="6" fillId="0" borderId="0" xfId="1" applyNumberFormat="1" applyAlignment="1">
      <alignment horizontal="center"/>
    </xf>
    <xf numFmtId="2" fontId="15" fillId="0" borderId="0" xfId="1" applyNumberFormat="1" applyFont="1" applyAlignment="1">
      <alignment horizontal="center"/>
    </xf>
    <xf numFmtId="2" fontId="19" fillId="0" borderId="0" xfId="1" applyNumberFormat="1" applyFont="1" applyAlignment="1">
      <alignment horizontal="center"/>
    </xf>
    <xf numFmtId="1" fontId="64" fillId="0" borderId="36" xfId="1" applyNumberFormat="1" applyFont="1" applyBorder="1" applyAlignment="1">
      <alignment horizontal="center"/>
    </xf>
    <xf numFmtId="2" fontId="65" fillId="0" borderId="36" xfId="1" applyNumberFormat="1" applyFont="1" applyBorder="1" applyAlignment="1">
      <alignment horizontal="center"/>
    </xf>
    <xf numFmtId="0" fontId="42" fillId="0" borderId="8" xfId="1" applyFont="1" applyBorder="1" applyAlignment="1">
      <alignment horizontal="center"/>
    </xf>
    <xf numFmtId="0" fontId="42" fillId="0" borderId="7" xfId="1" applyFont="1" applyBorder="1" applyAlignment="1">
      <alignment horizontal="center"/>
    </xf>
    <xf numFmtId="10" fontId="42" fillId="0" borderId="7" xfId="1" applyNumberFormat="1" applyFont="1" applyBorder="1" applyAlignment="1">
      <alignment horizontal="center"/>
    </xf>
    <xf numFmtId="164" fontId="42" fillId="0" borderId="7" xfId="1" applyNumberFormat="1" applyFont="1" applyBorder="1" applyAlignment="1">
      <alignment horizontal="center"/>
    </xf>
    <xf numFmtId="0" fontId="66" fillId="0" borderId="7" xfId="1" applyFont="1" applyBorder="1"/>
    <xf numFmtId="0" fontId="50" fillId="0" borderId="6" xfId="1" applyFont="1" applyBorder="1"/>
    <xf numFmtId="1" fontId="64" fillId="0" borderId="56" xfId="1" applyNumberFormat="1" applyFont="1" applyBorder="1" applyAlignment="1">
      <alignment horizontal="center"/>
    </xf>
    <xf numFmtId="2" fontId="65" fillId="0" borderId="56" xfId="1" applyNumberFormat="1" applyFont="1" applyBorder="1" applyAlignment="1">
      <alignment horizontal="center"/>
    </xf>
    <xf numFmtId="0" fontId="42" fillId="0" borderId="5" xfId="1" applyFont="1" applyBorder="1" applyAlignment="1">
      <alignment horizontal="center"/>
    </xf>
    <xf numFmtId="0" fontId="42" fillId="0" borderId="0" xfId="1" applyFont="1" applyAlignment="1">
      <alignment horizontal="center"/>
    </xf>
    <xf numFmtId="10" fontId="42" fillId="0" borderId="0" xfId="1" applyNumberFormat="1" applyFont="1" applyAlignment="1">
      <alignment horizontal="center"/>
    </xf>
    <xf numFmtId="164" fontId="42" fillId="0" borderId="0" xfId="1" applyNumberFormat="1" applyFont="1" applyAlignment="1">
      <alignment horizontal="center"/>
    </xf>
    <xf numFmtId="0" fontId="50" fillId="0" borderId="4" xfId="1" applyFont="1" applyBorder="1"/>
    <xf numFmtId="164" fontId="67" fillId="0" borderId="5" xfId="1" applyNumberFormat="1" applyFont="1" applyBorder="1" applyAlignment="1">
      <alignment horizontal="center"/>
    </xf>
    <xf numFmtId="176" fontId="67" fillId="0" borderId="0" xfId="1" applyNumberFormat="1" applyFont="1" applyAlignment="1">
      <alignment horizontal="right"/>
    </xf>
    <xf numFmtId="177" fontId="66" fillId="0" borderId="0" xfId="1" applyNumberFormat="1" applyFont="1" applyAlignment="1">
      <alignment horizontal="center"/>
    </xf>
    <xf numFmtId="176" fontId="67" fillId="0" borderId="0" xfId="1" applyNumberFormat="1" applyFont="1" applyAlignment="1">
      <alignment horizontal="center"/>
    </xf>
    <xf numFmtId="0" fontId="42" fillId="0" borderId="0" xfId="1" applyFont="1"/>
    <xf numFmtId="0" fontId="50" fillId="0" borderId="5" xfId="1" applyFont="1" applyBorder="1"/>
    <xf numFmtId="0" fontId="50" fillId="0" borderId="0" xfId="1" applyFont="1" applyAlignment="1">
      <alignment horizontal="right"/>
    </xf>
    <xf numFmtId="10" fontId="50" fillId="0" borderId="0" xfId="1" applyNumberFormat="1" applyFont="1"/>
    <xf numFmtId="164" fontId="50" fillId="0" borderId="0" xfId="1" applyNumberFormat="1" applyFont="1" applyAlignment="1">
      <alignment horizontal="center"/>
    </xf>
    <xf numFmtId="0" fontId="66" fillId="0" borderId="0" xfId="1" applyFont="1"/>
    <xf numFmtId="164" fontId="42" fillId="0" borderId="5" xfId="1" applyNumberFormat="1" applyFont="1" applyBorder="1" applyAlignment="1">
      <alignment horizontal="center"/>
    </xf>
    <xf numFmtId="164" fontId="42" fillId="0" borderId="18" xfId="1" applyNumberFormat="1" applyFont="1" applyBorder="1" applyAlignment="1">
      <alignment horizontal="center"/>
    </xf>
    <xf numFmtId="10" fontId="42" fillId="0" borderId="30" xfId="1" applyNumberFormat="1" applyFont="1" applyBorder="1" applyAlignment="1">
      <alignment horizontal="center"/>
    </xf>
    <xf numFmtId="164" fontId="42" fillId="0" borderId="30" xfId="1" applyNumberFormat="1" applyFont="1" applyBorder="1" applyAlignment="1">
      <alignment horizontal="center"/>
    </xf>
    <xf numFmtId="164" fontId="67" fillId="0" borderId="3" xfId="1" applyNumberFormat="1" applyFont="1" applyBorder="1"/>
    <xf numFmtId="164" fontId="67" fillId="0" borderId="2" xfId="1" applyNumberFormat="1" applyFont="1" applyBorder="1" applyAlignment="1">
      <alignment horizontal="right"/>
    </xf>
    <xf numFmtId="10" fontId="66" fillId="0" borderId="2" xfId="1" applyNumberFormat="1" applyFont="1" applyBorder="1"/>
    <xf numFmtId="164" fontId="67" fillId="0" borderId="2" xfId="1" applyNumberFormat="1" applyFont="1" applyBorder="1" applyAlignment="1">
      <alignment horizontal="center"/>
    </xf>
    <xf numFmtId="0" fontId="42" fillId="0" borderId="2" xfId="1" applyFont="1" applyBorder="1"/>
    <xf numFmtId="0" fontId="50" fillId="0" borderId="1" xfId="1" applyFont="1" applyBorder="1"/>
    <xf numFmtId="178" fontId="50" fillId="0" borderId="0" xfId="1" applyNumberFormat="1" applyFont="1"/>
    <xf numFmtId="2" fontId="67" fillId="0" borderId="56" xfId="1" applyNumberFormat="1" applyFont="1" applyBorder="1" applyAlignment="1">
      <alignment horizontal="center"/>
    </xf>
    <xf numFmtId="164" fontId="67" fillId="0" borderId="0" xfId="1" applyNumberFormat="1" applyFont="1"/>
    <xf numFmtId="179" fontId="67" fillId="0" borderId="0" xfId="1" applyNumberFormat="1" applyFont="1" applyAlignment="1">
      <alignment horizontal="right"/>
    </xf>
    <xf numFmtId="180" fontId="66" fillId="0" borderId="0" xfId="1" applyNumberFormat="1" applyFont="1" applyAlignment="1">
      <alignment horizontal="center"/>
    </xf>
    <xf numFmtId="179" fontId="67" fillId="0" borderId="0" xfId="1" applyNumberFormat="1" applyFont="1" applyAlignment="1">
      <alignment horizontal="center"/>
    </xf>
    <xf numFmtId="9" fontId="6" fillId="0" borderId="0" xfId="1" applyNumberFormat="1" applyAlignment="1">
      <alignment horizontal="center" vertical="center" wrapText="1"/>
    </xf>
    <xf numFmtId="164" fontId="50" fillId="0" borderId="0" xfId="1" applyNumberFormat="1" applyFont="1"/>
    <xf numFmtId="164" fontId="50" fillId="0" borderId="0" xfId="1" applyNumberFormat="1" applyFont="1" applyAlignment="1">
      <alignment horizontal="right"/>
    </xf>
    <xf numFmtId="10" fontId="50" fillId="0" borderId="0" xfId="1" applyNumberFormat="1" applyFont="1" applyAlignment="1">
      <alignment horizontal="center"/>
    </xf>
    <xf numFmtId="164" fontId="36" fillId="0" borderId="0" xfId="1" applyNumberFormat="1" applyFont="1" applyAlignment="1">
      <alignment horizontal="center"/>
    </xf>
    <xf numFmtId="164" fontId="37" fillId="0" borderId="0" xfId="1" applyNumberFormat="1" applyFont="1" applyAlignment="1">
      <alignment horizontal="center"/>
    </xf>
    <xf numFmtId="9" fontId="50" fillId="0" borderId="0" xfId="1" applyNumberFormat="1" applyFont="1" applyAlignment="1">
      <alignment horizontal="center" vertical="center" wrapText="1"/>
    </xf>
    <xf numFmtId="164" fontId="50" fillId="0" borderId="58" xfId="1" applyNumberFormat="1" applyFont="1" applyBorder="1"/>
    <xf numFmtId="164" fontId="50" fillId="0" borderId="58" xfId="1" applyNumberFormat="1" applyFont="1" applyBorder="1" applyAlignment="1">
      <alignment horizontal="right"/>
    </xf>
    <xf numFmtId="10" fontId="50" fillId="0" borderId="58" xfId="1" applyNumberFormat="1" applyFont="1" applyBorder="1" applyAlignment="1">
      <alignment horizontal="center"/>
    </xf>
    <xf numFmtId="164" fontId="36" fillId="0" borderId="58" xfId="1" applyNumberFormat="1" applyFont="1" applyBorder="1" applyAlignment="1">
      <alignment horizontal="center"/>
    </xf>
    <xf numFmtId="164" fontId="37" fillId="0" borderId="58" xfId="1" applyNumberFormat="1" applyFont="1" applyBorder="1" applyAlignment="1">
      <alignment horizontal="center"/>
    </xf>
    <xf numFmtId="0" fontId="50" fillId="0" borderId="58" xfId="1" applyFont="1" applyBorder="1"/>
    <xf numFmtId="164" fontId="36" fillId="8" borderId="0" xfId="1" applyNumberFormat="1" applyFont="1" applyFill="1" applyAlignment="1">
      <alignment horizontal="center"/>
    </xf>
    <xf numFmtId="180" fontId="67" fillId="0" borderId="0" xfId="1" applyNumberFormat="1" applyFont="1" applyAlignment="1">
      <alignment horizontal="center"/>
    </xf>
    <xf numFmtId="164" fontId="36" fillId="8" borderId="58" xfId="1" applyNumberFormat="1" applyFont="1" applyFill="1" applyBorder="1" applyAlignment="1">
      <alignment horizontal="center"/>
    </xf>
    <xf numFmtId="2" fontId="65" fillId="0" borderId="59" xfId="1" applyNumberFormat="1" applyFont="1" applyBorder="1" applyAlignment="1">
      <alignment horizontal="center"/>
    </xf>
    <xf numFmtId="1" fontId="64" fillId="0" borderId="39" xfId="1" applyNumberFormat="1" applyFont="1" applyBorder="1" applyAlignment="1">
      <alignment horizontal="center"/>
    </xf>
    <xf numFmtId="2" fontId="65" fillId="0" borderId="39" xfId="1" applyNumberFormat="1" applyFont="1" applyBorder="1" applyAlignment="1">
      <alignment horizontal="center"/>
    </xf>
    <xf numFmtId="10" fontId="6" fillId="0" borderId="0" xfId="1" applyNumberFormat="1"/>
    <xf numFmtId="164" fontId="6" fillId="0" borderId="0" xfId="1" applyNumberFormat="1"/>
    <xf numFmtId="0" fontId="68" fillId="0" borderId="0" xfId="4" applyFont="1" applyAlignment="1">
      <alignment horizontal="center" vertical="center" wrapText="1"/>
    </xf>
    <xf numFmtId="0" fontId="72" fillId="0" borderId="0" xfId="1" applyFont="1" applyAlignment="1">
      <alignment horizontal="center"/>
    </xf>
    <xf numFmtId="0" fontId="10" fillId="0" borderId="0" xfId="1" applyFont="1" applyAlignment="1">
      <alignment horizontal="center" vertical="center" wrapText="1"/>
    </xf>
    <xf numFmtId="0" fontId="74" fillId="6" borderId="0" xfId="1" applyFont="1" applyFill="1" applyAlignment="1">
      <alignment horizontal="center"/>
    </xf>
    <xf numFmtId="1" fontId="75" fillId="0" borderId="0" xfId="1" applyNumberFormat="1" applyFont="1" applyAlignment="1">
      <alignment horizontal="center"/>
    </xf>
    <xf numFmtId="2" fontId="65" fillId="0" borderId="0" xfId="1" applyNumberFormat="1" applyFont="1" applyAlignment="1">
      <alignment horizontal="center"/>
    </xf>
    <xf numFmtId="0" fontId="69" fillId="0" borderId="0" xfId="4" applyAlignment="1">
      <alignment wrapText="1"/>
    </xf>
    <xf numFmtId="2" fontId="76" fillId="0" borderId="56" xfId="1" applyNumberFormat="1" applyFont="1" applyBorder="1" applyAlignment="1">
      <alignment horizontal="center"/>
    </xf>
    <xf numFmtId="1" fontId="77" fillId="0" borderId="0" xfId="1" applyNumberFormat="1" applyFont="1" applyAlignment="1">
      <alignment horizontal="center"/>
    </xf>
    <xf numFmtId="164" fontId="50" fillId="8" borderId="0" xfId="1" applyNumberFormat="1" applyFont="1" applyFill="1" applyAlignment="1">
      <alignment horizontal="center"/>
    </xf>
    <xf numFmtId="176" fontId="67" fillId="8" borderId="0" xfId="1" applyNumberFormat="1" applyFont="1" applyFill="1" applyAlignment="1">
      <alignment horizontal="center"/>
    </xf>
    <xf numFmtId="0" fontId="69" fillId="0" borderId="0" xfId="4"/>
    <xf numFmtId="1" fontId="75" fillId="0" borderId="36" xfId="1" applyNumberFormat="1" applyFont="1" applyBorder="1" applyAlignment="1">
      <alignment horizontal="center"/>
    </xf>
    <xf numFmtId="1" fontId="75" fillId="0" borderId="56" xfId="1" applyNumberFormat="1" applyFont="1" applyBorder="1" applyAlignment="1">
      <alignment horizontal="center"/>
    </xf>
    <xf numFmtId="2" fontId="79" fillId="0" borderId="56" xfId="1" applyNumberFormat="1" applyFont="1" applyBorder="1" applyAlignment="1">
      <alignment horizontal="center"/>
    </xf>
    <xf numFmtId="1" fontId="75" fillId="0" borderId="39" xfId="1" applyNumberFormat="1" applyFont="1" applyBorder="1" applyAlignment="1">
      <alignment horizontal="center"/>
    </xf>
    <xf numFmtId="1" fontId="64" fillId="0" borderId="56" xfId="1" applyNumberFormat="1" applyFont="1" applyBorder="1" applyAlignment="1" applyProtection="1">
      <alignment horizontal="center"/>
    </xf>
    <xf numFmtId="39" fontId="38" fillId="9" borderId="0" xfId="2" applyNumberFormat="1" applyFont="1" applyFill="1" applyAlignment="1" applyProtection="1">
      <alignment horizontal="center"/>
    </xf>
    <xf numFmtId="171" fontId="38" fillId="9" borderId="0" xfId="2" applyNumberFormat="1" applyFont="1" applyFill="1" applyAlignment="1" applyProtection="1">
      <alignment horizontal="center"/>
    </xf>
    <xf numFmtId="0" fontId="47" fillId="2" borderId="0" xfId="2" applyFont="1" applyFill="1" applyAlignment="1" applyProtection="1">
      <alignment horizontal="center"/>
    </xf>
    <xf numFmtId="0" fontId="45" fillId="2" borderId="0" xfId="2" applyFont="1" applyFill="1" applyAlignment="1" applyProtection="1">
      <alignment horizontal="center"/>
    </xf>
    <xf numFmtId="0" fontId="3" fillId="2" borderId="0" xfId="2" applyFont="1" applyFill="1" applyAlignment="1" applyProtection="1">
      <alignment horizontal="center"/>
    </xf>
    <xf numFmtId="0" fontId="3" fillId="2" borderId="7" xfId="2" applyFont="1" applyFill="1" applyBorder="1" applyAlignment="1" applyProtection="1">
      <alignment horizontal="center"/>
    </xf>
    <xf numFmtId="0" fontId="28" fillId="0" borderId="0" xfId="1" applyFont="1" applyProtection="1"/>
    <xf numFmtId="0" fontId="3" fillId="2" borderId="2" xfId="2" applyFont="1" applyFill="1" applyBorder="1" applyProtection="1"/>
    <xf numFmtId="0" fontId="3" fillId="2" borderId="0" xfId="2" applyFont="1" applyFill="1" applyProtection="1"/>
    <xf numFmtId="0" fontId="28" fillId="2" borderId="0" xfId="1" applyFont="1" applyFill="1" applyProtection="1"/>
    <xf numFmtId="0" fontId="45" fillId="10" borderId="0" xfId="2" applyFont="1" applyFill="1" applyAlignment="1" applyProtection="1">
      <alignment horizontal="center"/>
    </xf>
    <xf numFmtId="0" fontId="47" fillId="10" borderId="0" xfId="2" applyFont="1" applyFill="1" applyAlignment="1" applyProtection="1">
      <alignment horizontal="center"/>
    </xf>
    <xf numFmtId="0" fontId="45" fillId="11" borderId="0" xfId="2" applyFont="1" applyFill="1" applyAlignment="1" applyProtection="1">
      <alignment horizontal="center"/>
    </xf>
    <xf numFmtId="0" fontId="47" fillId="11" borderId="0" xfId="2" applyFont="1" applyFill="1" applyAlignment="1" applyProtection="1">
      <alignment horizontal="center"/>
    </xf>
    <xf numFmtId="0" fontId="45" fillId="12" borderId="0" xfId="2" applyFont="1" applyFill="1" applyAlignment="1" applyProtection="1">
      <alignment horizontal="center"/>
    </xf>
    <xf numFmtId="0" fontId="47" fillId="12" borderId="0" xfId="2" applyFont="1" applyFill="1" applyAlignment="1" applyProtection="1">
      <alignment horizontal="center"/>
    </xf>
    <xf numFmtId="0" fontId="28" fillId="10" borderId="0" xfId="1" applyFont="1" applyFill="1" applyProtection="1"/>
    <xf numFmtId="0" fontId="3" fillId="10" borderId="0" xfId="2" applyFont="1" applyFill="1" applyAlignment="1" applyProtection="1">
      <alignment horizontal="center"/>
    </xf>
    <xf numFmtId="0" fontId="3" fillId="10" borderId="7" xfId="2" applyFont="1" applyFill="1" applyBorder="1" applyAlignment="1" applyProtection="1">
      <alignment horizontal="center"/>
    </xf>
    <xf numFmtId="0" fontId="3" fillId="10" borderId="2" xfId="2" applyFont="1" applyFill="1" applyBorder="1" applyProtection="1"/>
    <xf numFmtId="0" fontId="3" fillId="10" borderId="0" xfId="2" applyFont="1" applyFill="1" applyProtection="1"/>
    <xf numFmtId="0" fontId="3" fillId="11" borderId="0" xfId="2" applyFont="1" applyFill="1" applyProtection="1"/>
    <xf numFmtId="0" fontId="28" fillId="11" borderId="0" xfId="1" applyFont="1" applyFill="1" applyProtection="1"/>
    <xf numFmtId="0" fontId="3" fillId="11" borderId="0" xfId="2" applyFont="1" applyFill="1" applyAlignment="1" applyProtection="1">
      <alignment horizontal="center"/>
    </xf>
    <xf numFmtId="0" fontId="3" fillId="11" borderId="2" xfId="2" applyFont="1" applyFill="1" applyBorder="1" applyProtection="1"/>
    <xf numFmtId="0" fontId="3" fillId="11" borderId="7" xfId="2" applyFont="1" applyFill="1" applyBorder="1" applyAlignment="1" applyProtection="1">
      <alignment horizontal="center"/>
    </xf>
    <xf numFmtId="0" fontId="3" fillId="12" borderId="2" xfId="2" applyFont="1" applyFill="1" applyBorder="1" applyProtection="1"/>
    <xf numFmtId="0" fontId="3" fillId="12" borderId="0" xfId="2" applyFont="1" applyFill="1" applyProtection="1"/>
    <xf numFmtId="0" fontId="28" fillId="12" borderId="0" xfId="1" applyFont="1" applyFill="1" applyProtection="1"/>
    <xf numFmtId="0" fontId="3" fillId="12" borderId="0" xfId="2" applyFont="1" applyFill="1" applyAlignment="1" applyProtection="1">
      <alignment horizontal="center"/>
    </xf>
    <xf numFmtId="0" fontId="3" fillId="12" borderId="7" xfId="2" applyFont="1" applyFill="1" applyBorder="1" applyAlignment="1" applyProtection="1">
      <alignment horizontal="center"/>
    </xf>
    <xf numFmtId="0" fontId="3" fillId="0" borderId="0" xfId="2" applyFont="1" applyFill="1" applyBorder="1" applyAlignment="1" applyProtection="1">
      <alignment horizontal="center"/>
    </xf>
    <xf numFmtId="0" fontId="39" fillId="6" borderId="2" xfId="5" applyFont="1" applyFill="1" applyBorder="1"/>
    <xf numFmtId="0" fontId="39" fillId="6" borderId="0" xfId="5" applyFont="1" applyFill="1"/>
    <xf numFmtId="0" fontId="56" fillId="6" borderId="0" xfId="5" applyFont="1" applyFill="1" applyAlignment="1">
      <alignment horizontal="center"/>
    </xf>
    <xf numFmtId="0" fontId="10" fillId="0" borderId="0" xfId="1" applyFont="1" applyAlignment="1">
      <alignment horizontal="left"/>
    </xf>
    <xf numFmtId="0" fontId="57" fillId="6" borderId="0" xfId="5" applyFont="1" applyFill="1" applyAlignment="1">
      <alignment horizontal="center"/>
    </xf>
    <xf numFmtId="167" fontId="6" fillId="0" borderId="0" xfId="1" applyNumberFormat="1"/>
    <xf numFmtId="167" fontId="6" fillId="13" borderId="0" xfId="1" applyNumberFormat="1" applyFill="1"/>
    <xf numFmtId="167" fontId="24" fillId="6" borderId="1" xfId="1" applyNumberFormat="1" applyFont="1" applyFill="1" applyBorder="1" applyAlignment="1">
      <alignment horizontal="center"/>
    </xf>
    <xf numFmtId="181" fontId="87" fillId="6" borderId="3" xfId="6" applyNumberFormat="1" applyFont="1" applyFill="1" applyBorder="1" applyAlignment="1">
      <alignment horizontal="center"/>
    </xf>
    <xf numFmtId="0" fontId="58" fillId="6" borderId="0" xfId="5" applyFont="1" applyFill="1" applyAlignment="1">
      <alignment horizontal="center"/>
    </xf>
    <xf numFmtId="0" fontId="39" fillId="6" borderId="0" xfId="5" applyFont="1" applyFill="1" applyAlignment="1">
      <alignment horizontal="center"/>
    </xf>
    <xf numFmtId="167" fontId="28" fillId="0" borderId="0" xfId="1" applyNumberFormat="1" applyFont="1"/>
    <xf numFmtId="167" fontId="28" fillId="13" borderId="0" xfId="1" applyNumberFormat="1" applyFont="1" applyFill="1"/>
    <xf numFmtId="10" fontId="24" fillId="6" borderId="4" xfId="1" applyNumberFormat="1" applyFont="1" applyFill="1" applyBorder="1" applyAlignment="1">
      <alignment horizontal="center"/>
    </xf>
    <xf numFmtId="167" fontId="24" fillId="6" borderId="5" xfId="1" applyNumberFormat="1" applyFont="1" applyFill="1" applyBorder="1" applyAlignment="1">
      <alignment horizontal="center"/>
    </xf>
    <xf numFmtId="165" fontId="38" fillId="14" borderId="0" xfId="5" applyNumberFormat="1" applyFont="1" applyFill="1" applyAlignment="1">
      <alignment horizontal="center"/>
    </xf>
    <xf numFmtId="3" fontId="38" fillId="14" borderId="0" xfId="5" applyNumberFormat="1" applyFont="1" applyFill="1" applyAlignment="1">
      <alignment horizontal="center"/>
    </xf>
    <xf numFmtId="39" fontId="38" fillId="14" borderId="0" xfId="5" applyNumberFormat="1" applyFont="1" applyFill="1" applyAlignment="1">
      <alignment horizontal="center"/>
    </xf>
    <xf numFmtId="10" fontId="10" fillId="0" borderId="0" xfId="1" applyNumberFormat="1" applyFont="1"/>
    <xf numFmtId="10" fontId="10" fillId="13" borderId="0" xfId="1" applyNumberFormat="1" applyFont="1" applyFill="1"/>
    <xf numFmtId="10" fontId="24" fillId="6" borderId="5" xfId="1" applyNumberFormat="1" applyFont="1" applyFill="1" applyBorder="1" applyAlignment="1">
      <alignment horizontal="center"/>
    </xf>
    <xf numFmtId="0" fontId="39" fillId="6" borderId="7" xfId="5" applyFont="1" applyFill="1" applyBorder="1" applyAlignment="1">
      <alignment horizontal="center"/>
    </xf>
    <xf numFmtId="0" fontId="6" fillId="0" borderId="0" xfId="1" applyAlignment="1">
      <alignment horizontal="center"/>
    </xf>
    <xf numFmtId="0" fontId="24" fillId="6" borderId="6" xfId="1" applyFont="1" applyFill="1" applyBorder="1" applyAlignment="1">
      <alignment horizontal="center"/>
    </xf>
    <xf numFmtId="0" fontId="24" fillId="6" borderId="8" xfId="1" applyFont="1" applyFill="1" applyBorder="1" applyAlignment="1">
      <alignment horizontal="center"/>
    </xf>
    <xf numFmtId="0" fontId="16" fillId="0" borderId="56" xfId="1" applyFont="1" applyBorder="1"/>
    <xf numFmtId="0" fontId="6" fillId="0" borderId="4" xfId="1" applyBorder="1"/>
    <xf numFmtId="10" fontId="6" fillId="0" borderId="5" xfId="1" applyNumberFormat="1" applyBorder="1"/>
    <xf numFmtId="0" fontId="6" fillId="13" borderId="0" xfId="1" applyFill="1"/>
    <xf numFmtId="0" fontId="6" fillId="0" borderId="56" xfId="1" applyBorder="1"/>
    <xf numFmtId="164" fontId="6" fillId="0" borderId="4" xfId="1" applyNumberFormat="1" applyBorder="1"/>
    <xf numFmtId="164" fontId="6" fillId="0" borderId="0" xfId="1" applyNumberFormat="1"/>
    <xf numFmtId="0" fontId="91" fillId="15" borderId="30" xfId="1" applyFont="1" applyFill="1" applyBorder="1"/>
    <xf numFmtId="0" fontId="92" fillId="0" borderId="0" xfId="1" applyFont="1"/>
    <xf numFmtId="164" fontId="91" fillId="15" borderId="12" xfId="1" applyNumberFormat="1" applyFont="1" applyFill="1" applyBorder="1"/>
    <xf numFmtId="10" fontId="91" fillId="15" borderId="18" xfId="1" applyNumberFormat="1" applyFont="1" applyFill="1" applyBorder="1"/>
    <xf numFmtId="0" fontId="92" fillId="13" borderId="0" xfId="1" applyFont="1" applyFill="1"/>
    <xf numFmtId="0" fontId="91" fillId="0" borderId="0" xfId="1" applyFont="1"/>
    <xf numFmtId="166" fontId="91" fillId="15" borderId="12" xfId="6" applyNumberFormat="1" applyFont="1" applyFill="1" applyBorder="1"/>
    <xf numFmtId="164" fontId="24" fillId="6" borderId="12" xfId="6" applyFont="1" applyFill="1" applyBorder="1"/>
    <xf numFmtId="10" fontId="24" fillId="6" borderId="18" xfId="1" applyNumberFormat="1" applyFont="1" applyFill="1" applyBorder="1"/>
    <xf numFmtId="0" fontId="2" fillId="0" borderId="0" xfId="5"/>
    <xf numFmtId="0" fontId="88" fillId="0" borderId="7" xfId="0" applyFont="1" applyBorder="1" applyAlignment="1">
      <alignment horizontal="center" vertical="center"/>
    </xf>
    <xf numFmtId="0" fontId="38" fillId="0" borderId="0" xfId="0" applyFont="1"/>
    <xf numFmtId="0" fontId="95" fillId="0" borderId="0" xfId="0" applyFont="1"/>
    <xf numFmtId="164" fontId="96" fillId="0" borderId="0" xfId="0" applyNumberFormat="1" applyFont="1"/>
    <xf numFmtId="10" fontId="38" fillId="0" borderId="0" xfId="0" applyNumberFormat="1" applyFont="1"/>
    <xf numFmtId="0" fontId="97" fillId="0" borderId="0" xfId="0" applyFont="1"/>
    <xf numFmtId="0" fontId="19" fillId="0" borderId="0" xfId="1" applyFont="1" applyAlignment="1">
      <alignment horizontal="center" vertical="center" wrapText="1"/>
    </xf>
    <xf numFmtId="0" fontId="69" fillId="0" borderId="0" xfId="4" applyAlignment="1">
      <alignment horizontal="center" vertical="center" wrapText="1"/>
    </xf>
    <xf numFmtId="0" fontId="98" fillId="0" borderId="0" xfId="1" applyFont="1"/>
    <xf numFmtId="0" fontId="19" fillId="0" borderId="0" xfId="1" applyFont="1" applyAlignment="1">
      <alignment horizontal="center"/>
    </xf>
    <xf numFmtId="164" fontId="6" fillId="0" borderId="0" xfId="1" applyNumberFormat="1"/>
    <xf numFmtId="164" fontId="19" fillId="0" borderId="0" xfId="1" applyNumberFormat="1" applyFont="1" applyAlignment="1">
      <alignment horizontal="center"/>
    </xf>
    <xf numFmtId="49" fontId="6" fillId="0" borderId="0" xfId="1" applyNumberFormat="1"/>
    <xf numFmtId="10" fontId="19" fillId="0" borderId="0" xfId="1" applyNumberFormat="1" applyFont="1" applyAlignment="1">
      <alignment horizontal="center"/>
    </xf>
    <xf numFmtId="39" fontId="19" fillId="0" borderId="0" xfId="1" applyNumberFormat="1" applyFont="1" applyAlignment="1">
      <alignment horizontal="center"/>
    </xf>
    <xf numFmtId="164" fontId="62" fillId="0" borderId="0" xfId="1" applyNumberFormat="1" applyFont="1" applyAlignment="1">
      <alignment horizontal="center"/>
    </xf>
    <xf numFmtId="10" fontId="15" fillId="0" borderId="0" xfId="1" applyNumberFormat="1" applyFont="1"/>
    <xf numFmtId="164" fontId="62" fillId="0" borderId="0" xfId="1" applyNumberFormat="1" applyFont="1"/>
    <xf numFmtId="0" fontId="6" fillId="0" borderId="1" xfId="1" applyBorder="1"/>
    <xf numFmtId="0" fontId="19" fillId="0" borderId="2" xfId="1" applyFont="1" applyBorder="1"/>
    <xf numFmtId="164" fontId="62" fillId="0" borderId="2" xfId="1" applyNumberFormat="1" applyFont="1" applyBorder="1"/>
    <xf numFmtId="10" fontId="15" fillId="0" borderId="2" xfId="1" applyNumberFormat="1" applyFont="1" applyBorder="1"/>
    <xf numFmtId="164" fontId="62" fillId="0" borderId="3" xfId="1" applyNumberFormat="1" applyFont="1" applyBorder="1"/>
    <xf numFmtId="164" fontId="19" fillId="0" borderId="30" xfId="1" applyNumberFormat="1" applyFont="1" applyBorder="1" applyAlignment="1">
      <alignment horizontal="center"/>
    </xf>
    <xf numFmtId="10" fontId="19" fillId="0" borderId="30" xfId="1" applyNumberFormat="1" applyFont="1" applyBorder="1" applyAlignment="1">
      <alignment horizontal="center"/>
    </xf>
    <xf numFmtId="164" fontId="19" fillId="0" borderId="18" xfId="1" applyNumberFormat="1" applyFont="1" applyBorder="1" applyAlignment="1">
      <alignment horizontal="center"/>
    </xf>
    <xf numFmtId="164" fontId="19" fillId="0" borderId="5" xfId="1" applyNumberFormat="1" applyFont="1" applyBorder="1" applyAlignment="1">
      <alignment horizontal="center"/>
    </xf>
    <xf numFmtId="0" fontId="99" fillId="0" borderId="0" xfId="1" applyFont="1"/>
    <xf numFmtId="0" fontId="6" fillId="0" borderId="5" xfId="1" applyBorder="1"/>
    <xf numFmtId="164" fontId="67" fillId="0" borderId="0" xfId="1" applyNumberFormat="1" applyFont="1" applyAlignment="1">
      <alignment horizontal="center"/>
    </xf>
    <xf numFmtId="164" fontId="100" fillId="0" borderId="0" xfId="4" applyNumberFormat="1" applyFont="1"/>
    <xf numFmtId="10" fontId="66" fillId="0" borderId="0" xfId="1" applyNumberFormat="1" applyFont="1" applyAlignment="1">
      <alignment horizontal="center"/>
    </xf>
    <xf numFmtId="164" fontId="67" fillId="0" borderId="5" xfId="1" applyNumberFormat="1" applyFont="1" applyBorder="1" applyAlignment="1">
      <alignment horizontal="center"/>
    </xf>
    <xf numFmtId="0" fontId="6" fillId="0" borderId="6" xfId="1" applyBorder="1"/>
    <xf numFmtId="0" fontId="6" fillId="0" borderId="7" xfId="1" applyBorder="1"/>
    <xf numFmtId="164" fontId="42" fillId="0" borderId="7" xfId="1" applyNumberFormat="1" applyFont="1" applyBorder="1" applyAlignment="1">
      <alignment horizontal="center"/>
    </xf>
    <xf numFmtId="0" fontId="6" fillId="0" borderId="0" xfId="1" applyAlignment="1">
      <alignment horizontal="center" vertical="center"/>
    </xf>
    <xf numFmtId="0" fontId="1" fillId="2" borderId="7" xfId="2" applyFont="1" applyFill="1" applyBorder="1" applyAlignment="1" applyProtection="1">
      <alignment horizontal="center"/>
    </xf>
    <xf numFmtId="0" fontId="1" fillId="2" borderId="2" xfId="2" applyFont="1" applyFill="1" applyBorder="1" applyProtection="1"/>
    <xf numFmtId="0" fontId="1" fillId="2" borderId="0" xfId="2" applyFont="1" applyFill="1" applyProtection="1"/>
    <xf numFmtId="0" fontId="1" fillId="10" borderId="2" xfId="2" applyFont="1" applyFill="1" applyBorder="1" applyProtection="1"/>
    <xf numFmtId="0" fontId="1" fillId="10" borderId="0" xfId="2" applyFont="1" applyFill="1" applyProtection="1"/>
    <xf numFmtId="0" fontId="1" fillId="10" borderId="7" xfId="2" applyFont="1" applyFill="1" applyBorder="1" applyAlignment="1" applyProtection="1">
      <alignment horizontal="center"/>
    </xf>
    <xf numFmtId="0" fontId="1" fillId="11" borderId="2" xfId="2" applyFont="1" applyFill="1" applyBorder="1" applyProtection="1"/>
    <xf numFmtId="0" fontId="1" fillId="11" borderId="0" xfId="2" applyFont="1" applyFill="1" applyProtection="1"/>
    <xf numFmtId="0" fontId="1" fillId="11" borderId="7" xfId="2" applyFont="1" applyFill="1" applyBorder="1" applyAlignment="1" applyProtection="1">
      <alignment horizontal="center"/>
    </xf>
    <xf numFmtId="0" fontId="1" fillId="12" borderId="2" xfId="2" applyFont="1" applyFill="1" applyBorder="1" applyProtection="1"/>
    <xf numFmtId="0" fontId="1" fillId="12" borderId="0" xfId="2" applyFont="1" applyFill="1" applyProtection="1"/>
    <xf numFmtId="0" fontId="1" fillId="12" borderId="7" xfId="2" applyFont="1" applyFill="1" applyBorder="1" applyAlignment="1" applyProtection="1">
      <alignment horizontal="center"/>
    </xf>
    <xf numFmtId="0" fontId="1" fillId="0" borderId="0" xfId="2" applyFont="1" applyFill="1" applyBorder="1" applyAlignment="1" applyProtection="1">
      <alignment horizontal="center"/>
    </xf>
    <xf numFmtId="164" fontId="20" fillId="0" borderId="0" xfId="1" applyNumberFormat="1" applyFont="1" applyProtection="1">
      <protection locked="0"/>
    </xf>
    <xf numFmtId="1" fontId="10" fillId="0" borderId="0" xfId="0" applyNumberFormat="1" applyFont="1" applyAlignment="1">
      <alignment horizontal="center"/>
    </xf>
    <xf numFmtId="1" fontId="30" fillId="6" borderId="30" xfId="0" applyNumberFormat="1" applyFont="1" applyFill="1" applyBorder="1" applyAlignment="1">
      <alignment horizontal="center"/>
    </xf>
    <xf numFmtId="1" fontId="10" fillId="0" borderId="45" xfId="0" applyNumberFormat="1" applyFont="1" applyBorder="1" applyAlignment="1">
      <alignment horizontal="center"/>
    </xf>
    <xf numFmtId="168" fontId="10" fillId="0" borderId="62" xfId="0" applyNumberFormat="1" applyFont="1" applyBorder="1"/>
    <xf numFmtId="167" fontId="28" fillId="0" borderId="62" xfId="0" applyNumberFormat="1" applyFont="1" applyBorder="1" applyAlignment="1" applyProtection="1">
      <alignment horizontal="center"/>
      <protection locked="0"/>
    </xf>
    <xf numFmtId="167" fontId="28" fillId="8" borderId="62" xfId="0" applyNumberFormat="1" applyFont="1" applyFill="1" applyBorder="1" applyAlignment="1" applyProtection="1">
      <alignment horizontal="center"/>
      <protection locked="0"/>
    </xf>
    <xf numFmtId="167" fontId="28" fillId="8" borderId="63" xfId="0" applyNumberFormat="1" applyFont="1" applyFill="1" applyBorder="1" applyAlignment="1" applyProtection="1">
      <alignment horizontal="center"/>
      <protection locked="0"/>
    </xf>
    <xf numFmtId="167" fontId="28" fillId="8" borderId="22" xfId="0" applyNumberFormat="1" applyFont="1" applyFill="1" applyBorder="1" applyAlignment="1" applyProtection="1">
      <alignment horizontal="center"/>
      <protection locked="0"/>
    </xf>
    <xf numFmtId="167" fontId="28" fillId="8" borderId="26" xfId="0" applyNumberFormat="1" applyFont="1" applyFill="1" applyBorder="1" applyAlignment="1" applyProtection="1">
      <alignment horizontal="center"/>
      <protection locked="0"/>
    </xf>
    <xf numFmtId="168" fontId="10" fillId="0" borderId="19" xfId="0" applyNumberFormat="1" applyFont="1" applyBorder="1"/>
    <xf numFmtId="168" fontId="10" fillId="0" borderId="64" xfId="0" applyNumberFormat="1" applyFont="1" applyBorder="1"/>
    <xf numFmtId="167" fontId="28" fillId="0" borderId="64" xfId="0" applyNumberFormat="1" applyFont="1" applyBorder="1" applyAlignment="1" applyProtection="1">
      <alignment horizontal="center"/>
      <protection locked="0"/>
    </xf>
    <xf numFmtId="167" fontId="28" fillId="8" borderId="64" xfId="0" applyNumberFormat="1" applyFont="1" applyFill="1" applyBorder="1" applyAlignment="1" applyProtection="1">
      <alignment horizontal="center"/>
      <protection locked="0"/>
    </xf>
    <xf numFmtId="167" fontId="28" fillId="8" borderId="65" xfId="0" applyNumberFormat="1" applyFont="1" applyFill="1" applyBorder="1" applyAlignment="1" applyProtection="1">
      <alignment horizontal="center"/>
      <protection locked="0"/>
    </xf>
    <xf numFmtId="167" fontId="28" fillId="8" borderId="20" xfId="0" applyNumberFormat="1" applyFont="1" applyFill="1" applyBorder="1" applyAlignment="1" applyProtection="1">
      <alignment horizontal="center"/>
      <protection locked="0"/>
    </xf>
    <xf numFmtId="167" fontId="28" fillId="16" borderId="64" xfId="0" applyNumberFormat="1" applyFont="1" applyFill="1" applyBorder="1" applyAlignment="1" applyProtection="1">
      <alignment horizontal="center"/>
      <protection locked="0"/>
    </xf>
    <xf numFmtId="167" fontId="28" fillId="8" borderId="33" xfId="0" applyNumberFormat="1" applyFont="1" applyFill="1" applyBorder="1" applyAlignment="1" applyProtection="1">
      <alignment horizontal="center"/>
      <protection locked="0"/>
    </xf>
    <xf numFmtId="168" fontId="10" fillId="0" borderId="66" xfId="0" applyNumberFormat="1" applyFont="1" applyBorder="1"/>
    <xf numFmtId="168" fontId="10" fillId="0" borderId="38" xfId="0" applyNumberFormat="1" applyFont="1" applyBorder="1"/>
    <xf numFmtId="167" fontId="28" fillId="0" borderId="10" xfId="0" applyNumberFormat="1" applyFont="1" applyBorder="1" applyAlignment="1" applyProtection="1">
      <alignment horizontal="center"/>
      <protection locked="0"/>
    </xf>
    <xf numFmtId="167" fontId="28" fillId="8" borderId="38" xfId="0" applyNumberFormat="1" applyFont="1" applyFill="1" applyBorder="1" applyAlignment="1" applyProtection="1">
      <alignment horizontal="center"/>
      <protection locked="0"/>
    </xf>
    <xf numFmtId="167" fontId="28" fillId="16" borderId="38" xfId="0" applyNumberFormat="1" applyFont="1" applyFill="1" applyBorder="1" applyAlignment="1" applyProtection="1">
      <alignment horizontal="center"/>
      <protection locked="0"/>
    </xf>
    <xf numFmtId="167" fontId="28" fillId="8" borderId="7" xfId="0" applyNumberFormat="1" applyFont="1" applyFill="1" applyBorder="1" applyAlignment="1" applyProtection="1">
      <alignment horizontal="center"/>
      <protection locked="0"/>
    </xf>
    <xf numFmtId="167" fontId="28" fillId="8" borderId="61" xfId="0" applyNumberFormat="1" applyFont="1" applyFill="1" applyBorder="1" applyAlignment="1" applyProtection="1">
      <alignment horizontal="center"/>
      <protection locked="0"/>
    </xf>
    <xf numFmtId="1" fontId="10" fillId="0" borderId="19" xfId="0" applyNumberFormat="1" applyFont="1" applyBorder="1" applyAlignment="1">
      <alignment horizontal="center"/>
    </xf>
    <xf numFmtId="167" fontId="28" fillId="8" borderId="15" xfId="0" applyNumberFormat="1" applyFont="1" applyFill="1" applyBorder="1" applyAlignment="1" applyProtection="1">
      <alignment horizontal="center"/>
      <protection locked="0"/>
    </xf>
    <xf numFmtId="167" fontId="28" fillId="8" borderId="67" xfId="0" applyNumberFormat="1" applyFont="1" applyFill="1" applyBorder="1" applyAlignment="1" applyProtection="1">
      <alignment horizontal="center"/>
      <protection locked="0"/>
    </xf>
    <xf numFmtId="167" fontId="28" fillId="0" borderId="38" xfId="0" applyNumberFormat="1" applyFont="1" applyBorder="1" applyAlignment="1" applyProtection="1">
      <alignment horizontal="center"/>
      <protection locked="0"/>
    </xf>
    <xf numFmtId="167" fontId="28" fillId="8" borderId="10" xfId="0" applyNumberFormat="1" applyFont="1" applyFill="1" applyBorder="1" applyAlignment="1" applyProtection="1">
      <alignment horizontal="center"/>
      <protection locked="0"/>
    </xf>
    <xf numFmtId="0" fontId="10" fillId="0" borderId="0" xfId="0" applyFont="1"/>
    <xf numFmtId="0" fontId="10" fillId="2" borderId="41" xfId="0" applyFont="1" applyFill="1" applyBorder="1" applyAlignment="1">
      <alignment horizontal="center"/>
    </xf>
    <xf numFmtId="0" fontId="17" fillId="2" borderId="26" xfId="0" applyFont="1" applyFill="1" applyBorder="1" applyAlignment="1">
      <alignment horizontal="center"/>
    </xf>
    <xf numFmtId="49" fontId="17" fillId="2" borderId="11" xfId="0" applyNumberFormat="1" applyFont="1" applyFill="1" applyBorder="1" applyAlignment="1" applyProtection="1">
      <alignment horizontal="center"/>
    </xf>
    <xf numFmtId="167" fontId="28" fillId="11" borderId="62" xfId="0" applyNumberFormat="1" applyFont="1" applyFill="1" applyBorder="1" applyAlignment="1" applyProtection="1">
      <alignment horizontal="center"/>
      <protection locked="0"/>
    </xf>
    <xf numFmtId="167" fontId="28" fillId="11" borderId="64" xfId="0" applyNumberFormat="1" applyFont="1" applyFill="1" applyBorder="1" applyAlignment="1" applyProtection="1">
      <alignment horizontal="center"/>
      <protection locked="0"/>
    </xf>
    <xf numFmtId="167" fontId="28" fillId="11" borderId="33" xfId="0" applyNumberFormat="1" applyFont="1" applyFill="1" applyBorder="1" applyAlignment="1" applyProtection="1">
      <alignment horizontal="center"/>
      <protection locked="0"/>
    </xf>
    <xf numFmtId="0" fontId="17" fillId="2" borderId="9" xfId="0" applyFont="1" applyFill="1" applyBorder="1" applyAlignment="1" applyProtection="1">
      <alignment horizontal="center"/>
    </xf>
    <xf numFmtId="0" fontId="17" fillId="2" borderId="60" xfId="0" applyFont="1" applyFill="1" applyBorder="1" applyAlignment="1" applyProtection="1">
      <alignment horizontal="center"/>
    </xf>
    <xf numFmtId="1" fontId="28" fillId="2" borderId="24" xfId="0" applyNumberFormat="1" applyFont="1" applyFill="1" applyBorder="1" applyAlignment="1" applyProtection="1">
      <alignment horizontal="center"/>
    </xf>
    <xf numFmtId="1" fontId="17" fillId="2" borderId="22" xfId="0" applyNumberFormat="1" applyFont="1" applyFill="1" applyBorder="1" applyAlignment="1" applyProtection="1">
      <alignment horizontal="center"/>
    </xf>
    <xf numFmtId="1" fontId="17" fillId="2" borderId="40" xfId="0" applyNumberFormat="1" applyFont="1" applyFill="1" applyBorder="1" applyAlignment="1" applyProtection="1">
      <alignment horizontal="center"/>
    </xf>
    <xf numFmtId="1" fontId="28" fillId="2" borderId="10" xfId="0" applyNumberFormat="1" applyFont="1" applyFill="1" applyBorder="1" applyAlignment="1" applyProtection="1">
      <alignment horizontal="center"/>
    </xf>
    <xf numFmtId="1" fontId="28" fillId="2" borderId="11" xfId="0" applyNumberFormat="1" applyFont="1" applyFill="1" applyBorder="1" applyAlignment="1" applyProtection="1">
      <alignment horizontal="center"/>
    </xf>
    <xf numFmtId="0" fontId="30" fillId="6" borderId="1" xfId="0" applyFont="1" applyFill="1" applyBorder="1" applyAlignment="1" applyProtection="1">
      <alignment wrapText="1"/>
      <protection locked="0"/>
    </xf>
    <xf numFmtId="0" fontId="30" fillId="6" borderId="3" xfId="0" applyFont="1" applyFill="1" applyBorder="1" applyAlignment="1" applyProtection="1">
      <alignment wrapText="1"/>
      <protection locked="0"/>
    </xf>
    <xf numFmtId="0" fontId="30" fillId="6" borderId="4" xfId="0" applyFont="1" applyFill="1" applyBorder="1" applyAlignment="1" applyProtection="1">
      <alignment wrapText="1"/>
      <protection locked="0"/>
    </xf>
    <xf numFmtId="0" fontId="30" fillId="6" borderId="5" xfId="0" applyFont="1" applyFill="1" applyBorder="1" applyAlignment="1" applyProtection="1">
      <alignment wrapText="1"/>
      <protection locked="0"/>
    </xf>
    <xf numFmtId="0" fontId="30" fillId="6" borderId="6" xfId="0" applyFont="1" applyFill="1" applyBorder="1" applyAlignment="1" applyProtection="1">
      <alignment wrapText="1"/>
      <protection locked="0"/>
    </xf>
    <xf numFmtId="0" fontId="30" fillId="6" borderId="8" xfId="0" applyFont="1" applyFill="1" applyBorder="1" applyAlignment="1" applyProtection="1">
      <alignment wrapText="1"/>
      <protection locked="0"/>
    </xf>
    <xf numFmtId="167" fontId="17" fillId="2" borderId="10" xfId="0" applyNumberFormat="1" applyFont="1" applyFill="1" applyBorder="1" applyAlignment="1" applyProtection="1">
      <alignment horizontal="center"/>
    </xf>
    <xf numFmtId="167" fontId="17" fillId="2" borderId="28" xfId="0" applyNumberFormat="1" applyFont="1" applyFill="1" applyBorder="1" applyAlignment="1" applyProtection="1">
      <alignment horizontal="center"/>
    </xf>
    <xf numFmtId="1" fontId="17" fillId="2" borderId="69" xfId="0" applyNumberFormat="1" applyFont="1" applyFill="1" applyBorder="1" applyAlignment="1" applyProtection="1">
      <alignment horizontal="center"/>
    </xf>
    <xf numFmtId="0" fontId="17" fillId="2" borderId="32" xfId="0" applyFont="1" applyFill="1" applyBorder="1" applyAlignment="1" applyProtection="1">
      <alignment horizontal="center"/>
    </xf>
    <xf numFmtId="167" fontId="0" fillId="2" borderId="10" xfId="0" applyNumberFormat="1" applyFill="1" applyBorder="1" applyAlignment="1">
      <alignment horizontal="center"/>
    </xf>
    <xf numFmtId="167" fontId="0" fillId="2" borderId="28" xfId="0" applyNumberFormat="1" applyFill="1" applyBorder="1" applyAlignment="1">
      <alignment horizontal="center"/>
    </xf>
    <xf numFmtId="0" fontId="19" fillId="2" borderId="11" xfId="0" applyFont="1" applyFill="1" applyBorder="1" applyAlignment="1">
      <alignment horizontal="center"/>
    </xf>
    <xf numFmtId="1" fontId="26" fillId="4" borderId="14" xfId="0" applyNumberFormat="1" applyFont="1" applyFill="1" applyBorder="1" applyAlignment="1" applyProtection="1">
      <alignment horizontal="center"/>
    </xf>
    <xf numFmtId="175" fontId="40" fillId="6" borderId="30" xfId="1" applyNumberFormat="1" applyFont="1" applyFill="1" applyBorder="1" applyAlignment="1">
      <alignment horizontal="center"/>
    </xf>
    <xf numFmtId="1" fontId="40" fillId="6" borderId="30" xfId="1" applyNumberFormat="1" applyFont="1" applyFill="1" applyBorder="1" applyAlignment="1">
      <alignment horizontal="center"/>
    </xf>
    <xf numFmtId="2" fontId="40" fillId="6" borderId="30" xfId="1" applyNumberFormat="1" applyFont="1" applyFill="1" applyBorder="1" applyAlignment="1">
      <alignment horizontal="center"/>
    </xf>
    <xf numFmtId="171" fontId="40" fillId="6" borderId="30" xfId="1" applyNumberFormat="1" applyFont="1" applyFill="1" applyBorder="1" applyAlignment="1">
      <alignment horizontal="center"/>
    </xf>
    <xf numFmtId="0" fontId="40" fillId="6" borderId="12" xfId="1" applyFont="1" applyFill="1" applyBorder="1" applyAlignment="1">
      <alignment horizontal="center"/>
    </xf>
    <xf numFmtId="174" fontId="40" fillId="6" borderId="30" xfId="1" applyNumberFormat="1" applyFont="1" applyFill="1" applyBorder="1" applyAlignment="1">
      <alignment horizontal="center"/>
    </xf>
    <xf numFmtId="0" fontId="28" fillId="17" borderId="1" xfId="1" applyFont="1" applyFill="1" applyBorder="1"/>
    <xf numFmtId="0" fontId="28" fillId="17" borderId="2" xfId="1" applyFont="1" applyFill="1" applyBorder="1"/>
    <xf numFmtId="0" fontId="28" fillId="17" borderId="3" xfId="1" applyFont="1" applyFill="1" applyBorder="1"/>
    <xf numFmtId="0" fontId="28" fillId="17" borderId="4" xfId="1" applyFont="1" applyFill="1" applyBorder="1"/>
    <xf numFmtId="0" fontId="104" fillId="17" borderId="0" xfId="1" applyFont="1" applyFill="1" applyBorder="1" applyAlignment="1">
      <alignment horizontal="center"/>
    </xf>
    <xf numFmtId="0" fontId="28" fillId="17" borderId="5" xfId="1" applyFont="1" applyFill="1" applyBorder="1"/>
    <xf numFmtId="0" fontId="63" fillId="17" borderId="0" xfId="1" applyFont="1" applyFill="1" applyBorder="1" applyAlignment="1">
      <alignment horizontal="center"/>
    </xf>
    <xf numFmtId="0" fontId="28" fillId="17" borderId="0" xfId="1" applyFont="1" applyFill="1" applyBorder="1"/>
    <xf numFmtId="0" fontId="28" fillId="17" borderId="6" xfId="1" applyFont="1" applyFill="1" applyBorder="1"/>
    <xf numFmtId="0" fontId="28" fillId="17" borderId="7" xfId="1" applyFont="1" applyFill="1" applyBorder="1"/>
    <xf numFmtId="0" fontId="28" fillId="17" borderId="8" xfId="1" applyFont="1" applyFill="1" applyBorder="1"/>
    <xf numFmtId="0" fontId="84" fillId="6" borderId="0" xfId="1" applyFont="1" applyFill="1"/>
    <xf numFmtId="0" fontId="101" fillId="6" borderId="39" xfId="1" applyFont="1" applyFill="1" applyBorder="1" applyAlignment="1" applyProtection="1">
      <alignment horizontal="left"/>
      <protection locked="0"/>
    </xf>
    <xf numFmtId="0" fontId="101" fillId="6" borderId="56" xfId="1" applyFont="1" applyFill="1" applyBorder="1" applyAlignment="1" applyProtection="1">
      <alignment horizontal="left"/>
      <protection locked="0"/>
    </xf>
    <xf numFmtId="0" fontId="101" fillId="6" borderId="36" xfId="1" applyFont="1" applyFill="1" applyBorder="1" applyAlignment="1" applyProtection="1">
      <alignment horizontal="left"/>
      <protection locked="0"/>
    </xf>
    <xf numFmtId="49" fontId="24" fillId="6" borderId="39" xfId="1" applyNumberFormat="1" applyFont="1" applyFill="1" applyBorder="1" applyAlignment="1">
      <alignment horizontal="center"/>
    </xf>
    <xf numFmtId="3" fontId="24" fillId="6" borderId="56" xfId="1" applyNumberFormat="1" applyFont="1" applyFill="1" applyBorder="1" applyAlignment="1">
      <alignment horizontal="center"/>
    </xf>
    <xf numFmtId="0" fontId="24" fillId="6" borderId="56" xfId="1" applyFont="1" applyFill="1" applyBorder="1" applyAlignment="1">
      <alignment horizontal="center"/>
    </xf>
    <xf numFmtId="181" fontId="24" fillId="6" borderId="36" xfId="1" applyNumberFormat="1" applyFont="1" applyFill="1" applyBorder="1" applyAlignment="1">
      <alignment horizontal="center"/>
    </xf>
    <xf numFmtId="167" fontId="24" fillId="6" borderId="5" xfId="1" applyNumberFormat="1" applyFont="1" applyFill="1" applyBorder="1"/>
    <xf numFmtId="0" fontId="24" fillId="6" borderId="4" xfId="1" applyFont="1" applyFill="1" applyBorder="1" applyAlignment="1">
      <alignment horizontal="center"/>
    </xf>
    <xf numFmtId="0" fontId="24" fillId="6" borderId="5" xfId="1" applyFont="1" applyFill="1" applyBorder="1" applyAlignment="1">
      <alignment horizontal="center"/>
    </xf>
    <xf numFmtId="167" fontId="30" fillId="6" borderId="1" xfId="1" applyNumberFormat="1" applyFont="1" applyFill="1" applyBorder="1" applyAlignment="1">
      <alignment horizontal="center"/>
    </xf>
    <xf numFmtId="10" fontId="30" fillId="6" borderId="4" xfId="1" applyNumberFormat="1" applyFont="1" applyFill="1" applyBorder="1" applyAlignment="1">
      <alignment horizontal="center"/>
    </xf>
    <xf numFmtId="167" fontId="30" fillId="6" borderId="5" xfId="1" applyNumberFormat="1" applyFont="1" applyFill="1" applyBorder="1"/>
    <xf numFmtId="0" fontId="28" fillId="5" borderId="4" xfId="1" applyFont="1" applyFill="1" applyBorder="1"/>
    <xf numFmtId="10" fontId="28" fillId="5" borderId="5" xfId="1" applyNumberFormat="1" applyFont="1" applyFill="1" applyBorder="1"/>
    <xf numFmtId="164" fontId="90" fillId="5" borderId="30" xfId="1" applyNumberFormat="1" applyFont="1" applyFill="1" applyBorder="1" applyProtection="1">
      <protection locked="0"/>
    </xf>
    <xf numFmtId="0" fontId="6" fillId="14" borderId="4" xfId="1" applyFill="1" applyBorder="1"/>
    <xf numFmtId="10" fontId="6" fillId="14" borderId="5" xfId="1" applyNumberFormat="1" applyFill="1" applyBorder="1"/>
    <xf numFmtId="164" fontId="89" fillId="5" borderId="1" xfId="0" applyNumberFormat="1" applyFont="1" applyFill="1" applyBorder="1" applyProtection="1">
      <protection locked="0"/>
    </xf>
    <xf numFmtId="10" fontId="0" fillId="5" borderId="3" xfId="0" applyNumberFormat="1" applyFill="1" applyBorder="1"/>
    <xf numFmtId="164" fontId="89" fillId="5" borderId="4" xfId="0" applyNumberFormat="1" applyFont="1" applyFill="1" applyBorder="1" applyProtection="1">
      <protection locked="0"/>
    </xf>
    <xf numFmtId="10" fontId="0" fillId="5" borderId="5" xfId="0" applyNumberFormat="1" applyFill="1" applyBorder="1"/>
    <xf numFmtId="164" fontId="38" fillId="5" borderId="12" xfId="0" applyNumberFormat="1" applyFont="1" applyFill="1" applyBorder="1"/>
    <xf numFmtId="10" fontId="38" fillId="5" borderId="18" xfId="0" applyNumberFormat="1" applyFont="1" applyFill="1" applyBorder="1"/>
    <xf numFmtId="167" fontId="24" fillId="6" borderId="6" xfId="1" applyNumberFormat="1" applyFont="1" applyFill="1" applyBorder="1" applyAlignment="1">
      <alignment horizontal="center"/>
    </xf>
    <xf numFmtId="167" fontId="24" fillId="6" borderId="8" xfId="1" applyNumberFormat="1" applyFont="1" applyFill="1" applyBorder="1" applyAlignment="1">
      <alignment horizontal="center"/>
    </xf>
    <xf numFmtId="167" fontId="6" fillId="0" borderId="0" xfId="1" applyNumberFormat="1" applyAlignment="1">
      <alignment horizontal="center"/>
    </xf>
    <xf numFmtId="167" fontId="10" fillId="0" borderId="0" xfId="1" applyNumberFormat="1" applyFont="1" applyAlignment="1">
      <alignment horizontal="center"/>
    </xf>
    <xf numFmtId="167" fontId="30" fillId="6" borderId="8" xfId="1" applyNumberFormat="1" applyFont="1" applyFill="1" applyBorder="1" applyAlignment="1">
      <alignment horizontal="center"/>
    </xf>
    <xf numFmtId="167" fontId="6" fillId="13" borderId="0" xfId="1" applyNumberFormat="1" applyFill="1" applyAlignment="1">
      <alignment horizontal="center"/>
    </xf>
    <xf numFmtId="166" fontId="19" fillId="14" borderId="4" xfId="6" applyNumberFormat="1" applyFont="1" applyFill="1" applyBorder="1" applyAlignment="1">
      <alignment horizontal="center"/>
    </xf>
    <xf numFmtId="10" fontId="19" fillId="14" borderId="5" xfId="1" applyNumberFormat="1" applyFont="1" applyFill="1" applyBorder="1"/>
    <xf numFmtId="164" fontId="17" fillId="5" borderId="4" xfId="6" applyFont="1" applyFill="1" applyBorder="1" applyAlignment="1">
      <alignment horizontal="center"/>
    </xf>
    <xf numFmtId="10" fontId="90" fillId="5" borderId="5" xfId="1" applyNumberFormat="1" applyFont="1" applyFill="1" applyBorder="1" applyProtection="1">
      <protection locked="0"/>
    </xf>
    <xf numFmtId="10" fontId="90" fillId="5" borderId="8" xfId="1" applyNumberFormat="1" applyFont="1" applyFill="1" applyBorder="1" applyProtection="1">
      <protection locked="0"/>
    </xf>
    <xf numFmtId="1" fontId="14" fillId="2" borderId="30" xfId="0" applyNumberFormat="1" applyFont="1" applyFill="1" applyBorder="1" applyAlignment="1" applyProtection="1">
      <alignment horizontal="center"/>
      <protection locked="0"/>
    </xf>
    <xf numFmtId="0" fontId="84" fillId="6" borderId="1" xfId="0" applyFont="1" applyFill="1" applyBorder="1" applyAlignment="1" applyProtection="1">
      <alignment horizontal="center" wrapText="1"/>
      <protection locked="0"/>
    </xf>
    <xf numFmtId="0" fontId="84" fillId="6" borderId="2" xfId="0" applyFont="1" applyFill="1" applyBorder="1" applyAlignment="1" applyProtection="1">
      <alignment horizontal="center" wrapText="1"/>
      <protection locked="0"/>
    </xf>
    <xf numFmtId="0" fontId="24" fillId="6" borderId="3" xfId="0" applyFont="1" applyFill="1" applyBorder="1" applyAlignment="1" applyProtection="1">
      <alignment wrapText="1"/>
      <protection locked="0"/>
    </xf>
    <xf numFmtId="0" fontId="101" fillId="6" borderId="4" xfId="0" applyFont="1" applyFill="1" applyBorder="1" applyAlignment="1" applyProtection="1">
      <alignment horizontal="center" wrapText="1"/>
      <protection locked="0"/>
    </xf>
    <xf numFmtId="0" fontId="101" fillId="6" borderId="0" xfId="0" applyFont="1" applyFill="1" applyAlignment="1" applyProtection="1">
      <alignment horizontal="center" wrapText="1"/>
      <protection locked="0"/>
    </xf>
    <xf numFmtId="0" fontId="24" fillId="6" borderId="5" xfId="0" applyFont="1" applyFill="1" applyBorder="1" applyAlignment="1" applyProtection="1">
      <alignment wrapText="1"/>
      <protection locked="0"/>
    </xf>
    <xf numFmtId="0" fontId="24" fillId="6" borderId="6" xfId="0" applyFont="1" applyFill="1" applyBorder="1" applyAlignment="1" applyProtection="1">
      <alignment horizontal="center" vertical="center" wrapText="1"/>
      <protection locked="0"/>
    </xf>
    <xf numFmtId="0" fontId="24" fillId="6" borderId="7" xfId="0" applyFont="1" applyFill="1" applyBorder="1" applyAlignment="1" applyProtection="1">
      <alignment horizontal="center" vertical="center" wrapText="1"/>
      <protection locked="0"/>
    </xf>
    <xf numFmtId="0" fontId="24" fillId="6" borderId="8" xfId="0" applyFont="1" applyFill="1" applyBorder="1" applyAlignment="1" applyProtection="1">
      <alignment wrapText="1"/>
      <protection locked="0"/>
    </xf>
    <xf numFmtId="14" fontId="17" fillId="2" borderId="21" xfId="0" applyNumberFormat="1" applyFont="1" applyFill="1" applyBorder="1" applyAlignment="1">
      <alignment horizontal="center" wrapText="1"/>
    </xf>
    <xf numFmtId="0" fontId="17" fillId="2" borderId="42" xfId="0" applyFont="1" applyFill="1" applyBorder="1" applyAlignment="1">
      <alignment horizontal="center" wrapText="1"/>
    </xf>
    <xf numFmtId="0" fontId="17" fillId="2" borderId="23" xfId="0" applyFont="1" applyFill="1" applyBorder="1" applyAlignment="1">
      <alignment horizontal="center" wrapText="1"/>
    </xf>
    <xf numFmtId="0" fontId="17" fillId="2" borderId="10" xfId="0" applyFont="1" applyFill="1" applyBorder="1" applyAlignment="1">
      <alignment horizontal="center" wrapText="1"/>
    </xf>
    <xf numFmtId="0" fontId="17" fillId="2" borderId="68" xfId="0" applyFont="1" applyFill="1" applyBorder="1" applyAlignment="1">
      <alignment horizontal="center" wrapText="1"/>
    </xf>
    <xf numFmtId="0" fontId="0" fillId="0" borderId="62" xfId="0" applyBorder="1" applyAlignment="1">
      <alignment horizontal="center" wrapText="1"/>
    </xf>
    <xf numFmtId="0" fontId="24" fillId="6" borderId="12" xfId="0" applyFont="1" applyFill="1" applyBorder="1" applyAlignment="1">
      <alignment horizontal="center" wrapText="1"/>
    </xf>
    <xf numFmtId="0" fontId="24" fillId="6" borderId="18" xfId="0" applyFont="1" applyFill="1" applyBorder="1" applyAlignment="1">
      <alignment horizontal="center" wrapText="1"/>
    </xf>
    <xf numFmtId="0" fontId="35" fillId="3" borderId="12" xfId="0" applyFont="1" applyFill="1" applyBorder="1" applyAlignment="1">
      <alignment horizontal="center" wrapText="1"/>
    </xf>
    <xf numFmtId="0" fontId="35" fillId="3" borderId="18" xfId="0" applyFont="1" applyFill="1" applyBorder="1" applyAlignment="1">
      <alignment horizontal="center" wrapText="1"/>
    </xf>
    <xf numFmtId="0" fontId="19" fillId="2" borderId="6" xfId="0" applyFont="1" applyFill="1" applyBorder="1" applyAlignment="1">
      <alignment horizontal="right" wrapText="1"/>
    </xf>
    <xf numFmtId="0" fontId="19" fillId="0" borderId="7" xfId="0" applyFont="1" applyBorder="1" applyAlignment="1">
      <alignment horizontal="right" wrapText="1"/>
    </xf>
    <xf numFmtId="0" fontId="19" fillId="2" borderId="1" xfId="0" applyFont="1" applyFill="1" applyBorder="1" applyAlignment="1">
      <alignment horizontal="right" wrapText="1"/>
    </xf>
    <xf numFmtId="0" fontId="19" fillId="0" borderId="2" xfId="0" applyFont="1" applyBorder="1" applyAlignment="1">
      <alignment horizontal="right" wrapText="1"/>
    </xf>
    <xf numFmtId="0" fontId="19" fillId="2" borderId="7" xfId="0" applyFont="1" applyFill="1" applyBorder="1" applyAlignment="1">
      <alignment horizontal="left" wrapText="1"/>
    </xf>
    <xf numFmtId="0" fontId="19" fillId="0" borderId="8" xfId="0" applyFont="1" applyBorder="1" applyAlignment="1">
      <alignment horizontal="left" wrapText="1"/>
    </xf>
    <xf numFmtId="2" fontId="25" fillId="2" borderId="2" xfId="0" applyNumberFormat="1" applyFont="1" applyFill="1" applyBorder="1" applyAlignment="1">
      <alignment horizontal="center" wrapText="1"/>
    </xf>
    <xf numFmtId="0" fontId="0" fillId="0" borderId="2" xfId="0" applyBorder="1" applyAlignment="1">
      <alignment horizontal="center" wrapText="1"/>
    </xf>
    <xf numFmtId="2" fontId="25" fillId="2" borderId="7" xfId="0" applyNumberFormat="1" applyFont="1" applyFill="1" applyBorder="1" applyAlignment="1">
      <alignment horizontal="center" wrapText="1"/>
    </xf>
    <xf numFmtId="0" fontId="0" fillId="0" borderId="7" xfId="0" applyBorder="1" applyAlignment="1">
      <alignment horizontal="center" wrapText="1"/>
    </xf>
    <xf numFmtId="0" fontId="12" fillId="4" borderId="12" xfId="0" applyFont="1" applyFill="1" applyBorder="1" applyAlignment="1">
      <alignment horizontal="center" wrapText="1"/>
    </xf>
    <xf numFmtId="0" fontId="10" fillId="0" borderId="27" xfId="0" applyFont="1" applyBorder="1" applyAlignment="1">
      <alignment horizontal="center" wrapText="1"/>
    </xf>
    <xf numFmtId="0" fontId="0" fillId="0" borderId="27" xfId="0" applyBorder="1" applyAlignment="1">
      <alignment wrapText="1"/>
    </xf>
    <xf numFmtId="0" fontId="0" fillId="0" borderId="18" xfId="0" applyBorder="1" applyAlignment="1">
      <alignment wrapText="1"/>
    </xf>
    <xf numFmtId="0" fontId="24" fillId="4" borderId="12" xfId="0" applyFont="1" applyFill="1" applyBorder="1" applyAlignment="1">
      <alignment horizontal="center" wrapText="1"/>
    </xf>
    <xf numFmtId="0" fontId="24" fillId="0" borderId="27" xfId="0" applyFont="1" applyBorder="1" applyAlignment="1">
      <alignment horizontal="center" wrapText="1"/>
    </xf>
    <xf numFmtId="0" fontId="30" fillId="0" borderId="27" xfId="0" applyFont="1" applyBorder="1" applyAlignment="1">
      <alignment wrapText="1"/>
    </xf>
    <xf numFmtId="0" fontId="30" fillId="0" borderId="18" xfId="0" applyFont="1" applyBorder="1" applyAlignment="1">
      <alignment wrapText="1"/>
    </xf>
    <xf numFmtId="14" fontId="12" fillId="3" borderId="12" xfId="0" applyNumberFormat="1" applyFont="1" applyFill="1" applyBorder="1" applyAlignment="1">
      <alignment horizontal="center" wrapText="1"/>
    </xf>
    <xf numFmtId="14" fontId="12" fillId="3" borderId="13" xfId="0" applyNumberFormat="1" applyFont="1" applyFill="1" applyBorder="1" applyAlignment="1">
      <alignment horizontal="center" wrapText="1"/>
    </xf>
    <xf numFmtId="0" fontId="12" fillId="3" borderId="1" xfId="0" applyFont="1" applyFill="1" applyBorder="1" applyAlignment="1">
      <alignment horizontal="center" wrapText="1"/>
    </xf>
    <xf numFmtId="0" fontId="12" fillId="3" borderId="37" xfId="0" applyFont="1" applyFill="1" applyBorder="1" applyAlignment="1">
      <alignment horizontal="center" wrapText="1"/>
    </xf>
    <xf numFmtId="0" fontId="84" fillId="6" borderId="1" xfId="0" applyFont="1" applyFill="1" applyBorder="1" applyAlignment="1" applyProtection="1">
      <alignment horizontal="center" vertical="center" wrapText="1"/>
      <protection locked="0"/>
    </xf>
    <xf numFmtId="0" fontId="84" fillId="6" borderId="2" xfId="0" applyFont="1" applyFill="1" applyBorder="1" applyAlignment="1" applyProtection="1">
      <alignment horizontal="center" vertical="center" wrapText="1"/>
      <protection locked="0"/>
    </xf>
    <xf numFmtId="0" fontId="24" fillId="6" borderId="2" xfId="0" applyFont="1" applyFill="1" applyBorder="1" applyAlignment="1" applyProtection="1">
      <alignment horizontal="center" vertical="center" wrapText="1"/>
      <protection locked="0"/>
    </xf>
    <xf numFmtId="0" fontId="30" fillId="6" borderId="3" xfId="0" applyFont="1" applyFill="1" applyBorder="1" applyAlignment="1" applyProtection="1">
      <alignment horizontal="center" vertical="center" wrapText="1"/>
      <protection locked="0"/>
    </xf>
    <xf numFmtId="0" fontId="101" fillId="6" borderId="4" xfId="0" applyFont="1" applyFill="1" applyBorder="1" applyAlignment="1" applyProtection="1">
      <alignment horizontal="center" vertical="center" wrapText="1"/>
      <protection locked="0"/>
    </xf>
    <xf numFmtId="0" fontId="101" fillId="6" borderId="0" xfId="0" applyFont="1" applyFill="1" applyBorder="1" applyAlignment="1" applyProtection="1">
      <alignment horizontal="center" vertical="center" wrapText="1"/>
      <protection locked="0"/>
    </xf>
    <xf numFmtId="0" fontId="24" fillId="6" borderId="0" xfId="0" applyFont="1" applyFill="1" applyBorder="1" applyAlignment="1" applyProtection="1">
      <alignment horizontal="center" vertical="center" wrapText="1"/>
      <protection locked="0"/>
    </xf>
    <xf numFmtId="0" fontId="30" fillId="6" borderId="5" xfId="0" applyFont="1" applyFill="1" applyBorder="1" applyAlignment="1" applyProtection="1">
      <alignment horizontal="center" vertical="center" wrapText="1"/>
      <protection locked="0"/>
    </xf>
    <xf numFmtId="0" fontId="102" fillId="6" borderId="6" xfId="0" applyFont="1" applyFill="1" applyBorder="1" applyAlignment="1" applyProtection="1">
      <alignment horizontal="center" vertical="center" wrapText="1"/>
      <protection locked="0"/>
    </xf>
    <xf numFmtId="0" fontId="102" fillId="6" borderId="7" xfId="0" applyFont="1" applyFill="1" applyBorder="1" applyAlignment="1" applyProtection="1">
      <alignment horizontal="center" vertical="center" wrapText="1"/>
      <protection locked="0"/>
    </xf>
    <xf numFmtId="0" fontId="30" fillId="6" borderId="8" xfId="0" applyFont="1" applyFill="1" applyBorder="1" applyAlignment="1" applyProtection="1">
      <alignment horizontal="center" vertical="center" wrapText="1"/>
      <protection locked="0"/>
    </xf>
    <xf numFmtId="167" fontId="31" fillId="6" borderId="12" xfId="0" applyNumberFormat="1" applyFont="1" applyFill="1" applyBorder="1" applyAlignment="1">
      <alignment horizontal="center" wrapText="1"/>
    </xf>
    <xf numFmtId="0" fontId="32" fillId="6" borderId="16" xfId="0" applyFont="1" applyFill="1" applyBorder="1" applyAlignment="1">
      <alignment wrapText="1"/>
    </xf>
    <xf numFmtId="0" fontId="31" fillId="6" borderId="12" xfId="0" applyFont="1" applyFill="1" applyBorder="1" applyAlignment="1">
      <alignment horizontal="center" wrapText="1"/>
    </xf>
    <xf numFmtId="0" fontId="32" fillId="6" borderId="27" xfId="0" applyFont="1" applyFill="1" applyBorder="1" applyAlignment="1">
      <alignment horizontal="center" wrapText="1"/>
    </xf>
    <xf numFmtId="0" fontId="30" fillId="6" borderId="3" xfId="0" applyFont="1" applyFill="1" applyBorder="1" applyAlignment="1" applyProtection="1">
      <alignment wrapText="1"/>
      <protection locked="0"/>
    </xf>
    <xf numFmtId="0" fontId="103" fillId="6" borderId="0" xfId="0" applyFont="1" applyFill="1" applyAlignment="1" applyProtection="1">
      <alignment horizontal="center" wrapText="1"/>
      <protection locked="0"/>
    </xf>
    <xf numFmtId="0" fontId="30" fillId="6" borderId="5" xfId="0" applyFont="1" applyFill="1" applyBorder="1" applyAlignment="1" applyProtection="1">
      <alignment wrapText="1"/>
      <protection locked="0"/>
    </xf>
    <xf numFmtId="0" fontId="30" fillId="6" borderId="7" xfId="0" applyFont="1" applyFill="1" applyBorder="1" applyAlignment="1" applyProtection="1">
      <alignment horizontal="center" vertical="center" wrapText="1"/>
      <protection locked="0"/>
    </xf>
    <xf numFmtId="0" fontId="30" fillId="6" borderId="8" xfId="0" applyFont="1" applyFill="1" applyBorder="1" applyAlignment="1" applyProtection="1">
      <alignment wrapText="1"/>
      <protection locked="0"/>
    </xf>
    <xf numFmtId="14" fontId="24" fillId="3" borderId="12" xfId="0" applyNumberFormat="1" applyFont="1" applyFill="1" applyBorder="1" applyAlignment="1">
      <alignment horizontal="center" wrapText="1"/>
    </xf>
    <xf numFmtId="14" fontId="24" fillId="3" borderId="13" xfId="0" applyNumberFormat="1" applyFont="1" applyFill="1" applyBorder="1" applyAlignment="1">
      <alignment horizontal="center" wrapText="1"/>
    </xf>
    <xf numFmtId="0" fontId="24" fillId="3" borderId="4" xfId="0" applyFont="1" applyFill="1" applyBorder="1" applyAlignment="1">
      <alignment horizontal="center" wrapText="1"/>
    </xf>
    <xf numFmtId="0" fontId="24" fillId="3" borderId="29" xfId="0" applyFont="1" applyFill="1" applyBorder="1" applyAlignment="1">
      <alignment horizontal="center" wrapText="1"/>
    </xf>
    <xf numFmtId="0" fontId="17" fillId="7" borderId="12" xfId="0" applyFont="1" applyFill="1" applyBorder="1" applyAlignment="1">
      <alignment horizontal="center" wrapText="1"/>
    </xf>
    <xf numFmtId="0" fontId="28" fillId="2" borderId="18" xfId="0" applyFont="1" applyFill="1" applyBorder="1" applyAlignment="1">
      <alignment horizontal="center" wrapText="1"/>
    </xf>
    <xf numFmtId="0" fontId="73" fillId="0" borderId="39" xfId="1" applyFont="1" applyBorder="1" applyAlignment="1">
      <alignment horizontal="center" vertical="center" wrapText="1"/>
    </xf>
    <xf numFmtId="0" fontId="71" fillId="0" borderId="56" xfId="4" applyFont="1" applyBorder="1" applyAlignment="1">
      <alignment horizontal="center" vertical="center" wrapText="1"/>
    </xf>
    <xf numFmtId="0" fontId="71" fillId="0" borderId="36" xfId="4" applyFont="1" applyBorder="1" applyAlignment="1">
      <alignment horizontal="center" vertical="center" wrapText="1"/>
    </xf>
    <xf numFmtId="0" fontId="70" fillId="0" borderId="56" xfId="4" applyFont="1" applyBorder="1" applyAlignment="1">
      <alignment horizontal="center" vertical="center" wrapText="1"/>
    </xf>
    <xf numFmtId="0" fontId="70" fillId="0" borderId="36" xfId="4" applyFont="1" applyBorder="1" applyAlignment="1">
      <alignment horizontal="center" vertical="center" wrapText="1"/>
    </xf>
    <xf numFmtId="9" fontId="50" fillId="0" borderId="57" xfId="1" applyNumberFormat="1" applyFont="1" applyBorder="1" applyAlignment="1">
      <alignment horizontal="center" vertical="center" wrapText="1"/>
    </xf>
    <xf numFmtId="9" fontId="6" fillId="0" borderId="0" xfId="1" applyNumberFormat="1" applyAlignment="1">
      <alignment horizontal="center" vertical="center" wrapText="1"/>
    </xf>
    <xf numFmtId="171" fontId="40" fillId="6" borderId="27" xfId="1" applyNumberFormat="1" applyFont="1" applyFill="1" applyBorder="1" applyAlignment="1">
      <alignment horizontal="center" wrapText="1"/>
    </xf>
    <xf numFmtId="0" fontId="30" fillId="6" borderId="18" xfId="1" applyFont="1" applyFill="1" applyBorder="1" applyAlignment="1">
      <alignment horizontal="center" wrapText="1"/>
    </xf>
    <xf numFmtId="0" fontId="68" fillId="0" borderId="39" xfId="1" applyFont="1" applyBorder="1" applyAlignment="1">
      <alignment horizontal="center" vertical="center" wrapText="1"/>
    </xf>
    <xf numFmtId="0" fontId="6" fillId="0" borderId="56" xfId="1" applyBorder="1" applyAlignment="1">
      <alignment horizontal="center" vertical="center" wrapText="1"/>
    </xf>
    <xf numFmtId="0" fontId="6" fillId="0" borderId="36" xfId="1" applyBorder="1" applyAlignment="1">
      <alignment horizontal="center" vertical="center" wrapText="1"/>
    </xf>
    <xf numFmtId="0" fontId="68" fillId="0" borderId="56" xfId="1" applyFont="1" applyBorder="1" applyAlignment="1">
      <alignment horizontal="center" vertical="center" wrapText="1"/>
    </xf>
    <xf numFmtId="0" fontId="68" fillId="0" borderId="36" xfId="1" applyFont="1" applyBorder="1" applyAlignment="1">
      <alignment horizontal="center" vertical="center" wrapText="1"/>
    </xf>
    <xf numFmtId="9" fontId="50" fillId="0" borderId="0" xfId="1" applyNumberFormat="1" applyFont="1" applyAlignment="1">
      <alignment horizontal="center" vertical="center" wrapText="1"/>
    </xf>
    <xf numFmtId="9" fontId="6" fillId="0" borderId="58" xfId="1" applyNumberFormat="1" applyBorder="1" applyAlignment="1">
      <alignment horizontal="center" vertical="center" wrapText="1"/>
    </xf>
    <xf numFmtId="0" fontId="78" fillId="0" borderId="39" xfId="1" applyFont="1" applyBorder="1" applyAlignment="1">
      <alignment horizontal="center" vertical="center" wrapText="1"/>
    </xf>
    <xf numFmtId="0" fontId="78" fillId="0" borderId="56" xfId="1" applyFont="1" applyBorder="1" applyAlignment="1">
      <alignment horizontal="center" vertical="center" wrapText="1"/>
    </xf>
    <xf numFmtId="0" fontId="78" fillId="0" borderId="36" xfId="1" applyFont="1" applyBorder="1" applyAlignment="1">
      <alignment horizontal="center" vertical="center" wrapText="1"/>
    </xf>
    <xf numFmtId="0" fontId="6" fillId="0" borderId="0" xfId="1" applyAlignment="1">
      <alignment wrapText="1"/>
    </xf>
    <xf numFmtId="0" fontId="69" fillId="0" borderId="0" xfId="4" applyAlignment="1">
      <alignment wrapText="1"/>
    </xf>
    <xf numFmtId="0" fontId="69" fillId="0" borderId="7" xfId="4" applyBorder="1" applyAlignment="1">
      <alignment wrapText="1"/>
    </xf>
    <xf numFmtId="0" fontId="19" fillId="0" borderId="39" xfId="1" applyFont="1" applyBorder="1" applyAlignment="1">
      <alignment horizontal="center" vertical="center" wrapText="1"/>
    </xf>
    <xf numFmtId="0" fontId="69" fillId="0" borderId="56" xfId="4" applyBorder="1" applyAlignment="1">
      <alignment horizontal="center" vertical="center" wrapText="1"/>
    </xf>
    <xf numFmtId="0" fontId="69" fillId="0" borderId="36" xfId="4" applyBorder="1" applyAlignment="1">
      <alignment horizontal="center" vertical="center" wrapText="1"/>
    </xf>
    <xf numFmtId="0" fontId="68" fillId="0" borderId="56" xfId="4" applyFont="1" applyBorder="1" applyAlignment="1">
      <alignment horizontal="center" vertical="center" wrapText="1"/>
    </xf>
    <xf numFmtId="0" fontId="68" fillId="0" borderId="36" xfId="4" applyFont="1" applyBorder="1" applyAlignment="1">
      <alignment horizontal="center" vertical="center" wrapText="1"/>
    </xf>
    <xf numFmtId="0" fontId="54" fillId="0" borderId="5" xfId="0" applyFont="1" applyBorder="1" applyAlignment="1">
      <alignment horizontal="center" vertical="center" wrapText="1"/>
    </xf>
    <xf numFmtId="0" fontId="55" fillId="6" borderId="1" xfId="2" applyFont="1" applyFill="1" applyBorder="1" applyAlignment="1">
      <alignment horizontal="center" vertical="center" wrapText="1"/>
    </xf>
    <xf numFmtId="0" fontId="39" fillId="6" borderId="4" xfId="2" applyFont="1" applyFill="1" applyBorder="1" applyAlignment="1">
      <alignment horizontal="center" vertical="center" wrapText="1"/>
    </xf>
    <xf numFmtId="0" fontId="39" fillId="6" borderId="6" xfId="2" applyFont="1" applyFill="1" applyBorder="1" applyAlignment="1">
      <alignment horizontal="center" vertical="center" wrapText="1"/>
    </xf>
    <xf numFmtId="0" fontId="55" fillId="6" borderId="3" xfId="2" applyFont="1" applyFill="1" applyBorder="1" applyAlignment="1">
      <alignment horizontal="center" vertical="center" wrapText="1"/>
    </xf>
    <xf numFmtId="0" fontId="39" fillId="6" borderId="5" xfId="2" applyFont="1" applyFill="1" applyBorder="1" applyAlignment="1">
      <alignment horizontal="center" vertical="center" wrapText="1"/>
    </xf>
    <xf numFmtId="0" fontId="39" fillId="6" borderId="8" xfId="2" applyFont="1" applyFill="1" applyBorder="1" applyAlignment="1">
      <alignment horizontal="center" vertical="center" wrapText="1"/>
    </xf>
    <xf numFmtId="0" fontId="58" fillId="6" borderId="0" xfId="2" applyFont="1" applyFill="1" applyAlignment="1">
      <alignment horizontal="center" wrapText="1"/>
    </xf>
    <xf numFmtId="0" fontId="30" fillId="6" borderId="0" xfId="0" applyFont="1" applyFill="1" applyAlignment="1">
      <alignment horizontal="center" wrapText="1"/>
    </xf>
    <xf numFmtId="173" fontId="38" fillId="9" borderId="0" xfId="2" applyNumberFormat="1" applyFont="1" applyFill="1" applyAlignment="1">
      <alignment horizontal="center" wrapText="1"/>
    </xf>
    <xf numFmtId="173" fontId="28" fillId="9" borderId="0" xfId="0" applyNumberFormat="1" applyFont="1" applyFill="1" applyAlignment="1">
      <alignment horizontal="center" wrapText="1"/>
    </xf>
    <xf numFmtId="171" fontId="38" fillId="9" borderId="0" xfId="2" applyNumberFormat="1" applyFont="1" applyFill="1" applyAlignment="1">
      <alignment horizontal="center" wrapText="1"/>
    </xf>
    <xf numFmtId="171" fontId="28" fillId="9" borderId="0" xfId="0" applyNumberFormat="1" applyFont="1" applyFill="1" applyAlignment="1">
      <alignment horizontal="center" wrapText="1"/>
    </xf>
    <xf numFmtId="172" fontId="38" fillId="9" borderId="0" xfId="2" applyNumberFormat="1" applyFont="1" applyFill="1" applyAlignment="1">
      <alignment horizontal="center" wrapText="1"/>
    </xf>
    <xf numFmtId="172" fontId="28" fillId="9" borderId="0" xfId="0" applyNumberFormat="1" applyFont="1" applyFill="1" applyAlignment="1">
      <alignment horizontal="center" wrapText="1"/>
    </xf>
    <xf numFmtId="0" fontId="56" fillId="6" borderId="0" xfId="2" applyFont="1" applyFill="1" applyAlignment="1">
      <alignment horizontal="center" wrapText="1"/>
    </xf>
    <xf numFmtId="0" fontId="43" fillId="12" borderId="3" xfId="2" applyFont="1" applyFill="1" applyBorder="1" applyAlignment="1">
      <alignment horizontal="center" vertical="center" wrapText="1"/>
    </xf>
    <xf numFmtId="0" fontId="5" fillId="12" borderId="5" xfId="2" applyFill="1" applyBorder="1" applyAlignment="1">
      <alignment horizontal="center" vertical="center" wrapText="1"/>
    </xf>
    <xf numFmtId="0" fontId="5" fillId="12" borderId="8" xfId="2" applyFill="1" applyBorder="1" applyAlignment="1">
      <alignment horizontal="center" vertical="center" wrapText="1"/>
    </xf>
    <xf numFmtId="0" fontId="43" fillId="12" borderId="1" xfId="2" applyFont="1" applyFill="1" applyBorder="1" applyAlignment="1">
      <alignment horizontal="center" vertical="center" wrapText="1"/>
    </xf>
    <xf numFmtId="0" fontId="5" fillId="12" borderId="4" xfId="2" applyFill="1" applyBorder="1" applyAlignment="1">
      <alignment horizontal="center" vertical="center" wrapText="1"/>
    </xf>
    <xf numFmtId="0" fontId="5" fillId="12" borderId="6" xfId="2" applyFill="1" applyBorder="1" applyAlignment="1">
      <alignment horizontal="center" vertical="center" wrapText="1"/>
    </xf>
    <xf numFmtId="0" fontId="53" fillId="6" borderId="52" xfId="0" applyFont="1" applyFill="1" applyBorder="1" applyAlignment="1">
      <alignment horizontal="center" vertical="center" wrapText="1"/>
    </xf>
    <xf numFmtId="0" fontId="53" fillId="6" borderId="53" xfId="0" applyFont="1" applyFill="1" applyBorder="1" applyAlignment="1">
      <alignment horizontal="center" vertical="center" wrapText="1"/>
    </xf>
    <xf numFmtId="0" fontId="53" fillId="6" borderId="54" xfId="0" applyFont="1" applyFill="1" applyBorder="1" applyAlignment="1">
      <alignment horizontal="center" vertical="center" wrapText="1"/>
    </xf>
    <xf numFmtId="0" fontId="52" fillId="8" borderId="5" xfId="0" applyFont="1" applyFill="1" applyBorder="1" applyAlignment="1">
      <alignment horizontal="center" vertical="center" wrapText="1"/>
    </xf>
    <xf numFmtId="0" fontId="43" fillId="11" borderId="1" xfId="2" applyFont="1" applyFill="1" applyBorder="1" applyAlignment="1">
      <alignment horizontal="center" vertical="center" wrapText="1"/>
    </xf>
    <xf numFmtId="0" fontId="5" fillId="11" borderId="4" xfId="2" applyFill="1" applyBorder="1" applyAlignment="1">
      <alignment horizontal="center" vertical="center" wrapText="1"/>
    </xf>
    <xf numFmtId="0" fontId="5" fillId="11" borderId="6" xfId="2" applyFill="1" applyBorder="1" applyAlignment="1">
      <alignment horizontal="center" vertical="center" wrapText="1"/>
    </xf>
    <xf numFmtId="0" fontId="43" fillId="11" borderId="3" xfId="2" applyFont="1" applyFill="1" applyBorder="1" applyAlignment="1">
      <alignment horizontal="center" vertical="center" wrapText="1"/>
    </xf>
    <xf numFmtId="0" fontId="5" fillId="11" borderId="5" xfId="2" applyFill="1" applyBorder="1" applyAlignment="1">
      <alignment horizontal="center" vertical="center" wrapText="1"/>
    </xf>
    <xf numFmtId="0" fontId="5" fillId="11" borderId="8" xfId="2" applyFill="1" applyBorder="1" applyAlignment="1">
      <alignment horizontal="center" vertical="center" wrapText="1"/>
    </xf>
    <xf numFmtId="0" fontId="42" fillId="8" borderId="56" xfId="0" applyFont="1" applyFill="1" applyBorder="1" applyAlignment="1">
      <alignment horizontal="center" vertical="center" wrapText="1"/>
    </xf>
    <xf numFmtId="0" fontId="43" fillId="10" borderId="3" xfId="2" applyFont="1" applyFill="1" applyBorder="1" applyAlignment="1">
      <alignment horizontal="center" vertical="center" wrapText="1"/>
    </xf>
    <xf numFmtId="0" fontId="5" fillId="10" borderId="5" xfId="2" applyFill="1" applyBorder="1" applyAlignment="1">
      <alignment horizontal="center" vertical="center" wrapText="1"/>
    </xf>
    <xf numFmtId="0" fontId="5" fillId="10" borderId="8" xfId="2" applyFill="1" applyBorder="1" applyAlignment="1">
      <alignment horizontal="center" vertical="center" wrapText="1"/>
    </xf>
    <xf numFmtId="0" fontId="43" fillId="10" borderId="1" xfId="2" applyFont="1" applyFill="1" applyBorder="1" applyAlignment="1">
      <alignment horizontal="center" vertical="center" wrapText="1"/>
    </xf>
    <xf numFmtId="0" fontId="5" fillId="10" borderId="4" xfId="2" applyFill="1" applyBorder="1" applyAlignment="1">
      <alignment horizontal="center" vertical="center" wrapText="1"/>
    </xf>
    <xf numFmtId="0" fontId="5" fillId="10" borderId="6" xfId="2" applyFill="1" applyBorder="1" applyAlignment="1">
      <alignment horizontal="center" vertical="center" wrapText="1"/>
    </xf>
    <xf numFmtId="0" fontId="61" fillId="10" borderId="1" xfId="2" applyFont="1" applyFill="1" applyBorder="1" applyAlignment="1">
      <alignment horizontal="center" vertical="center" wrapText="1"/>
    </xf>
    <xf numFmtId="0" fontId="4" fillId="10" borderId="4" xfId="2" applyFont="1" applyFill="1" applyBorder="1" applyAlignment="1">
      <alignment horizontal="center" vertical="center" wrapText="1"/>
    </xf>
    <xf numFmtId="0" fontId="4" fillId="10" borderId="6" xfId="2" applyFont="1" applyFill="1" applyBorder="1" applyAlignment="1">
      <alignment horizontal="center" vertical="center" wrapText="1"/>
    </xf>
    <xf numFmtId="0" fontId="41" fillId="11" borderId="55" xfId="0" applyFont="1" applyFill="1" applyBorder="1" applyAlignment="1">
      <alignment horizontal="center" vertical="center" wrapText="1"/>
    </xf>
    <xf numFmtId="0" fontId="43" fillId="11" borderId="4" xfId="2" applyFont="1" applyFill="1" applyBorder="1" applyAlignment="1">
      <alignment horizontal="center" vertical="center" wrapText="1"/>
    </xf>
    <xf numFmtId="0" fontId="43" fillId="11" borderId="5" xfId="2" applyFont="1" applyFill="1" applyBorder="1" applyAlignment="1">
      <alignment horizontal="center" vertical="center" wrapText="1"/>
    </xf>
    <xf numFmtId="0" fontId="42" fillId="8" borderId="5" xfId="0" applyFont="1" applyFill="1" applyBorder="1" applyAlignment="1">
      <alignment horizontal="center" vertical="center" wrapText="1"/>
    </xf>
    <xf numFmtId="0" fontId="43" fillId="2" borderId="1" xfId="2" applyFont="1" applyFill="1" applyBorder="1" applyAlignment="1">
      <alignment horizontal="center" vertical="center" wrapText="1"/>
    </xf>
    <xf numFmtId="0" fontId="5" fillId="2" borderId="4" xfId="2" applyFill="1" applyBorder="1" applyAlignment="1">
      <alignment horizontal="center" vertical="center" wrapText="1"/>
    </xf>
    <xf numFmtId="0" fontId="5" fillId="2" borderId="6" xfId="2" applyFill="1" applyBorder="1" applyAlignment="1">
      <alignment horizontal="center" vertical="center" wrapText="1"/>
    </xf>
    <xf numFmtId="0" fontId="43" fillId="2" borderId="3" xfId="2" applyFont="1" applyFill="1" applyBorder="1" applyAlignment="1">
      <alignment horizontal="center" vertical="center" wrapText="1"/>
    </xf>
    <xf numFmtId="0" fontId="5" fillId="2" borderId="5" xfId="2" applyFill="1" applyBorder="1" applyAlignment="1">
      <alignment horizontal="center" vertical="center" wrapText="1"/>
    </xf>
    <xf numFmtId="0" fontId="5" fillId="2" borderId="8" xfId="2" applyFill="1" applyBorder="1" applyAlignment="1">
      <alignment horizontal="center" vertical="center" wrapText="1"/>
    </xf>
    <xf numFmtId="0" fontId="41" fillId="10" borderId="52" xfId="0" applyFont="1" applyFill="1" applyBorder="1" applyAlignment="1">
      <alignment horizontal="center" vertical="center" wrapText="1"/>
    </xf>
    <xf numFmtId="0" fontId="41" fillId="10" borderId="53" xfId="0" applyFont="1" applyFill="1" applyBorder="1" applyAlignment="1">
      <alignment horizontal="center" vertical="center" wrapText="1"/>
    </xf>
    <xf numFmtId="0" fontId="41" fillId="10" borderId="54" xfId="0" applyFont="1" applyFill="1" applyBorder="1" applyAlignment="1">
      <alignment horizontal="center" vertical="center" wrapText="1"/>
    </xf>
    <xf numFmtId="0" fontId="41" fillId="2" borderId="52" xfId="0" applyFont="1" applyFill="1" applyBorder="1" applyAlignment="1">
      <alignment horizontal="center" vertical="center" wrapText="1"/>
    </xf>
    <xf numFmtId="0" fontId="41" fillId="2" borderId="53" xfId="0" applyFont="1" applyFill="1" applyBorder="1" applyAlignment="1">
      <alignment horizontal="center" vertical="center" wrapText="1"/>
    </xf>
    <xf numFmtId="0" fontId="41" fillId="2" borderId="54" xfId="0" applyFont="1" applyFill="1" applyBorder="1" applyAlignment="1">
      <alignment horizontal="center" vertical="center" wrapText="1"/>
    </xf>
    <xf numFmtId="0" fontId="51" fillId="12" borderId="57" xfId="0" applyFont="1" applyFill="1" applyBorder="1" applyAlignment="1">
      <alignment horizontal="center" vertical="center" wrapText="1"/>
    </xf>
    <xf numFmtId="0" fontId="51" fillId="12" borderId="0" xfId="0" applyFont="1" applyFill="1" applyBorder="1" applyAlignment="1">
      <alignment horizontal="center" vertical="center" wrapText="1"/>
    </xf>
    <xf numFmtId="0" fontId="0" fillId="0" borderId="0" xfId="0" applyAlignment="1">
      <alignment horizontal="center" vertical="center" wrapText="1"/>
    </xf>
    <xf numFmtId="0" fontId="44" fillId="0" borderId="0" xfId="0" applyFont="1" applyAlignment="1">
      <alignment horizontal="center" vertical="center" wrapText="1"/>
    </xf>
    <xf numFmtId="0" fontId="40" fillId="6" borderId="1" xfId="1" applyFont="1" applyFill="1" applyBorder="1" applyAlignment="1">
      <alignment horizontal="center" vertical="center" wrapText="1"/>
    </xf>
    <xf numFmtId="0" fontId="40" fillId="6" borderId="2" xfId="0" applyFont="1" applyFill="1" applyBorder="1" applyAlignment="1">
      <alignment horizontal="center" vertical="center" wrapText="1"/>
    </xf>
    <xf numFmtId="0" fontId="40" fillId="6" borderId="3" xfId="0" applyFont="1" applyFill="1" applyBorder="1" applyAlignment="1">
      <alignment horizontal="center" vertical="center" wrapText="1"/>
    </xf>
    <xf numFmtId="0" fontId="40" fillId="6" borderId="6" xfId="0" applyFont="1" applyFill="1" applyBorder="1" applyAlignment="1">
      <alignment horizontal="center" vertical="center" wrapText="1"/>
    </xf>
    <xf numFmtId="0" fontId="40" fillId="6" borderId="7" xfId="0" applyFont="1" applyFill="1" applyBorder="1" applyAlignment="1">
      <alignment horizontal="center" vertical="center" wrapText="1"/>
    </xf>
    <xf numFmtId="0" fontId="40" fillId="6" borderId="8" xfId="0" applyFont="1" applyFill="1" applyBorder="1" applyAlignment="1">
      <alignment horizontal="center" vertical="center" wrapText="1"/>
    </xf>
    <xf numFmtId="0" fontId="84" fillId="6" borderId="1" xfId="1" applyFont="1" applyFill="1" applyBorder="1" applyAlignment="1">
      <alignment horizontal="center" vertical="center" wrapText="1"/>
    </xf>
    <xf numFmtId="0" fontId="84" fillId="6" borderId="3" xfId="1" applyFont="1" applyFill="1" applyBorder="1" applyAlignment="1">
      <alignment horizontal="center" vertical="center" wrapText="1"/>
    </xf>
    <xf numFmtId="0" fontId="84" fillId="6" borderId="4" xfId="1" applyFont="1" applyFill="1" applyBorder="1" applyAlignment="1">
      <alignment horizontal="center" vertical="center" wrapText="1"/>
    </xf>
    <xf numFmtId="0" fontId="84" fillId="6" borderId="5" xfId="1" applyFont="1" applyFill="1" applyBorder="1" applyAlignment="1">
      <alignment horizontal="center" vertical="center" wrapText="1"/>
    </xf>
    <xf numFmtId="0" fontId="84" fillId="6" borderId="6" xfId="1" applyFont="1" applyFill="1" applyBorder="1" applyAlignment="1">
      <alignment horizontal="center" vertical="center" wrapText="1"/>
    </xf>
    <xf numFmtId="0" fontId="84" fillId="6" borderId="8" xfId="1" applyFont="1" applyFill="1" applyBorder="1" applyAlignment="1">
      <alignment horizontal="center" vertical="center" wrapText="1"/>
    </xf>
    <xf numFmtId="0" fontId="85" fillId="6" borderId="1" xfId="5" applyFont="1" applyFill="1" applyBorder="1" applyAlignment="1">
      <alignment horizontal="center" vertical="center" wrapText="1"/>
    </xf>
    <xf numFmtId="0" fontId="86" fillId="6" borderId="4" xfId="5" applyFont="1" applyFill="1" applyBorder="1" applyAlignment="1">
      <alignment horizontal="center" vertical="center" wrapText="1"/>
    </xf>
    <xf numFmtId="0" fontId="86" fillId="6" borderId="6" xfId="5" applyFont="1" applyFill="1" applyBorder="1" applyAlignment="1">
      <alignment horizontal="center" vertical="center" wrapText="1"/>
    </xf>
    <xf numFmtId="0" fontId="85" fillId="6" borderId="3" xfId="5" applyFont="1" applyFill="1" applyBorder="1" applyAlignment="1">
      <alignment horizontal="center" vertical="center" wrapText="1"/>
    </xf>
    <xf numFmtId="0" fontId="86" fillId="6" borderId="5" xfId="5" applyFont="1" applyFill="1" applyBorder="1" applyAlignment="1">
      <alignment horizontal="center" vertical="center" wrapText="1"/>
    </xf>
    <xf numFmtId="0" fontId="86" fillId="6" borderId="8" xfId="5" applyFont="1" applyFill="1" applyBorder="1" applyAlignment="1">
      <alignment horizontal="center" vertical="center" wrapText="1"/>
    </xf>
    <xf numFmtId="0" fontId="94" fillId="5" borderId="1" xfId="7" applyFont="1" applyFill="1" applyBorder="1" applyAlignment="1" applyProtection="1">
      <alignment horizontal="center" wrapText="1"/>
      <protection locked="0"/>
    </xf>
    <xf numFmtId="0" fontId="94" fillId="5" borderId="3" xfId="7" applyFont="1" applyFill="1" applyBorder="1" applyAlignment="1" applyProtection="1">
      <alignment horizontal="center" wrapText="1"/>
      <protection locked="0"/>
    </xf>
    <xf numFmtId="0" fontId="38" fillId="5" borderId="4" xfId="0" applyFont="1" applyFill="1" applyBorder="1" applyAlignment="1" applyProtection="1">
      <alignment horizontal="center" vertical="center" wrapText="1"/>
      <protection locked="0"/>
    </xf>
    <xf numFmtId="0" fontId="38" fillId="5" borderId="5" xfId="0" applyFont="1" applyFill="1" applyBorder="1" applyAlignment="1" applyProtection="1">
      <alignment horizontal="center" vertical="center" wrapText="1"/>
      <protection locked="0"/>
    </xf>
    <xf numFmtId="0" fontId="38" fillId="5" borderId="6" xfId="0" applyFont="1" applyFill="1" applyBorder="1" applyAlignment="1" applyProtection="1">
      <alignment horizontal="center" vertical="center" wrapText="1"/>
      <protection locked="0"/>
    </xf>
    <xf numFmtId="0" fontId="38" fillId="5" borderId="8" xfId="0" applyFont="1" applyFill="1" applyBorder="1" applyAlignment="1" applyProtection="1">
      <alignment horizontal="center" vertical="center" wrapText="1"/>
      <protection locked="0"/>
    </xf>
  </cellXfs>
  <cellStyles count="8">
    <cellStyle name="Lien hypertexte" xfId="7" builtinId="8"/>
    <cellStyle name="Monétaire 2 2" xfId="6" xr:uid="{05F5C4A5-8EFC-9342-808C-04F9B6ADDE68}"/>
    <cellStyle name="Normal" xfId="0" builtinId="0"/>
    <cellStyle name="Normal 2" xfId="1" xr:uid="{86A5D925-9503-1049-A77D-DF2B122CC54F}"/>
    <cellStyle name="Normal 2 2" xfId="4" xr:uid="{407002A1-60B4-DB4E-BC75-782B34BA71A4}"/>
    <cellStyle name="Normal 3" xfId="3" xr:uid="{179188D3-A9ED-754D-8DA1-047C734FD9E3}"/>
    <cellStyle name="Normal 3 2" xfId="2" xr:uid="{2C7B5307-EA86-8D49-ACB2-624D80B120C0}"/>
    <cellStyle name="Normal 3 2 2" xfId="5" xr:uid="{480976B8-A649-4841-B3EE-86C5EB99FB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ode&#768;leBudge&#769;tai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2021"/>
      <sheetName val="Achalandage 2021"/>
      <sheetName val="% Occupation"/>
      <sheetName val="Formule pour le calcul D"/>
      <sheetName val="Calcul CmO et PmO"/>
      <sheetName val="Coût marchandises vendues"/>
      <sheetName val="État des Résultats"/>
      <sheetName val=" Total des coûts de MO"/>
      <sheetName val="Salaire (planification)"/>
      <sheetName val="Coût d'occupation "/>
      <sheetName val="Coût direct d'exploitation "/>
      <sheetName val="Musique &amp; Divertissement"/>
      <sheetName val="Mark &amp; Communication marketing"/>
      <sheetName val="Services publics"/>
      <sheetName val="Administration &amp; Frais généraux"/>
      <sheetName val="Entretien &amp; Réparation"/>
      <sheetName val="Frais financier"/>
      <sheetName val="Amortissement"/>
      <sheetName val="Feuil1"/>
      <sheetName val="Bilan début-fin"/>
      <sheetName val="Tableau de trésorerie"/>
      <sheetName val="Ind. de performance"/>
      <sheetName val="Questions"/>
      <sheetName val="État des Résultats (2)"/>
      <sheetName val="Bilan"/>
    </sheetNames>
    <sheetDataSet>
      <sheetData sheetId="0">
        <row r="34">
          <cell r="C34" t="str">
            <v>Vendredi</v>
          </cell>
        </row>
      </sheetData>
      <sheetData sheetId="1"/>
      <sheetData sheetId="2"/>
      <sheetData sheetId="3">
        <row r="10">
          <cell r="AH10">
            <v>1</v>
          </cell>
        </row>
        <row r="103">
          <cell r="BM103" t="str">
            <v>Bénéfice annuel</v>
          </cell>
          <cell r="BO103" t="str">
            <v>Achalandage annuelle</v>
          </cell>
          <cell r="BR103" t="str">
            <v>Um/A</v>
          </cell>
          <cell r="BT103" t="str">
            <v>BmO</v>
          </cell>
        </row>
        <row r="105">
          <cell r="BM105" t="str">
            <v xml:space="preserve">B </v>
          </cell>
          <cell r="BO105" t="str">
            <v>A</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Bureau">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hyperlink" Target="https://www.hrimag.com/Le-code-7225-Groupe-industriel-Restaurants-a-service-complet-et-etablisse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41BE-CFA1-E048-AA8A-0D73BD96E6DA}">
  <sheetPr>
    <tabColor theme="1"/>
  </sheetPr>
  <dimension ref="B1:R53"/>
  <sheetViews>
    <sheetView tabSelected="1" zoomScale="160" zoomScaleNormal="160" workbookViewId="0">
      <pane xSplit="3" ySplit="7" topLeftCell="D8" activePane="bottomRight" state="frozen"/>
      <selection activeCell="B5" sqref="B5"/>
      <selection pane="topRight" activeCell="D7" sqref="D7"/>
      <selection pane="bottomLeft" activeCell="C47" sqref="C47"/>
      <selection pane="bottomRight" activeCell="B3" sqref="B3:P3"/>
    </sheetView>
  </sheetViews>
  <sheetFormatPr baseColWidth="10" defaultRowHeight="13" x14ac:dyDescent="0.15"/>
  <cols>
    <col min="1" max="1" width="1.5" customWidth="1"/>
    <col min="2" max="2" width="2.5" customWidth="1"/>
    <col min="4" max="16" width="15.83203125" customWidth="1"/>
    <col min="17" max="17" width="3.6640625" customWidth="1"/>
    <col min="18" max="18" width="21.83203125" customWidth="1"/>
    <col min="22" max="23" width="12.33203125" bestFit="1" customWidth="1"/>
  </cols>
  <sheetData>
    <row r="1" spans="2:18" ht="14" thickBot="1" x14ac:dyDescent="0.2"/>
    <row r="2" spans="2:18" ht="19" thickTop="1" x14ac:dyDescent="0.2">
      <c r="B2" s="537" t="s">
        <v>36</v>
      </c>
      <c r="C2" s="538"/>
      <c r="D2" s="538"/>
      <c r="E2" s="538"/>
      <c r="F2" s="538"/>
      <c r="G2" s="538"/>
      <c r="H2" s="538"/>
      <c r="I2" s="538"/>
      <c r="J2" s="538"/>
      <c r="K2" s="538"/>
      <c r="L2" s="538"/>
      <c r="M2" s="538"/>
      <c r="N2" s="538"/>
      <c r="O2" s="538"/>
      <c r="P2" s="539"/>
    </row>
    <row r="3" spans="2:18" ht="16" x14ac:dyDescent="0.2">
      <c r="B3" s="540" t="s">
        <v>179</v>
      </c>
      <c r="C3" s="541"/>
      <c r="D3" s="541"/>
      <c r="E3" s="541"/>
      <c r="F3" s="541"/>
      <c r="G3" s="541"/>
      <c r="H3" s="541"/>
      <c r="I3" s="541"/>
      <c r="J3" s="541"/>
      <c r="K3" s="541"/>
      <c r="L3" s="541"/>
      <c r="M3" s="541"/>
      <c r="N3" s="541"/>
      <c r="O3" s="541"/>
      <c r="P3" s="542"/>
    </row>
    <row r="4" spans="2:18" ht="14" thickBot="1" x14ac:dyDescent="0.2">
      <c r="B4" s="543" t="s">
        <v>1</v>
      </c>
      <c r="C4" s="544"/>
      <c r="D4" s="544"/>
      <c r="E4" s="544"/>
      <c r="F4" s="544"/>
      <c r="G4" s="544"/>
      <c r="H4" s="544"/>
      <c r="I4" s="544"/>
      <c r="J4" s="544"/>
      <c r="K4" s="544"/>
      <c r="L4" s="544"/>
      <c r="M4" s="544"/>
      <c r="N4" s="544"/>
      <c r="O4" s="544"/>
      <c r="P4" s="545"/>
    </row>
    <row r="5" spans="2:18" ht="15" thickTop="1" thickBot="1" x14ac:dyDescent="0.2">
      <c r="B5" s="550"/>
      <c r="C5" s="551"/>
      <c r="D5" s="478" t="s">
        <v>180</v>
      </c>
      <c r="E5" s="462" t="s">
        <v>181</v>
      </c>
      <c r="F5" s="462" t="s">
        <v>182</v>
      </c>
      <c r="G5" s="462" t="s">
        <v>183</v>
      </c>
      <c r="H5" s="462" t="s">
        <v>184</v>
      </c>
      <c r="I5" s="462" t="s">
        <v>185</v>
      </c>
      <c r="J5" s="462" t="s">
        <v>186</v>
      </c>
      <c r="K5" s="462" t="s">
        <v>187</v>
      </c>
      <c r="L5" s="462" t="s">
        <v>188</v>
      </c>
      <c r="M5" s="462" t="s">
        <v>189</v>
      </c>
      <c r="N5" s="462" t="s">
        <v>190</v>
      </c>
      <c r="O5" s="462" t="s">
        <v>191</v>
      </c>
      <c r="P5" s="463" t="s">
        <v>192</v>
      </c>
    </row>
    <row r="6" spans="2:18" ht="15" thickTop="1" thickBot="1" x14ac:dyDescent="0.2">
      <c r="B6" s="546" t="s">
        <v>193</v>
      </c>
      <c r="C6" s="547"/>
      <c r="D6" s="536">
        <v>28</v>
      </c>
      <c r="E6" s="477">
        <f t="shared" ref="E6:P6" si="0">+D6</f>
        <v>28</v>
      </c>
      <c r="F6" s="465">
        <f t="shared" si="0"/>
        <v>28</v>
      </c>
      <c r="G6" s="465">
        <f t="shared" si="0"/>
        <v>28</v>
      </c>
      <c r="H6" s="465">
        <f t="shared" si="0"/>
        <v>28</v>
      </c>
      <c r="I6" s="465">
        <f t="shared" si="0"/>
        <v>28</v>
      </c>
      <c r="J6" s="465">
        <f t="shared" si="0"/>
        <v>28</v>
      </c>
      <c r="K6" s="465">
        <f t="shared" si="0"/>
        <v>28</v>
      </c>
      <c r="L6" s="465">
        <f t="shared" si="0"/>
        <v>28</v>
      </c>
      <c r="M6" s="465">
        <f t="shared" si="0"/>
        <v>28</v>
      </c>
      <c r="N6" s="465">
        <f t="shared" si="0"/>
        <v>28</v>
      </c>
      <c r="O6" s="465">
        <f t="shared" si="0"/>
        <v>28</v>
      </c>
      <c r="P6" s="466">
        <f t="shared" si="0"/>
        <v>28</v>
      </c>
    </row>
    <row r="7" spans="2:18" ht="15" thickTop="1" thickBot="1" x14ac:dyDescent="0.2">
      <c r="B7" s="548" t="s">
        <v>194</v>
      </c>
      <c r="C7" s="549"/>
      <c r="D7" s="464">
        <v>28</v>
      </c>
      <c r="E7" s="467">
        <v>28</v>
      </c>
      <c r="F7" s="467">
        <v>28</v>
      </c>
      <c r="G7" s="467">
        <v>28</v>
      </c>
      <c r="H7" s="467">
        <v>28</v>
      </c>
      <c r="I7" s="467">
        <v>28</v>
      </c>
      <c r="J7" s="467">
        <v>28</v>
      </c>
      <c r="K7" s="467">
        <v>28</v>
      </c>
      <c r="L7" s="467">
        <v>28</v>
      </c>
      <c r="M7" s="467">
        <v>28</v>
      </c>
      <c r="N7" s="467">
        <v>28</v>
      </c>
      <c r="O7" s="467">
        <v>28</v>
      </c>
      <c r="P7" s="468">
        <v>28</v>
      </c>
      <c r="Q7" s="426"/>
      <c r="R7" s="427">
        <f>+D7+E7+F7+G7+H7+I7+J7+K7+L7+M7+N7+O7+P7</f>
        <v>364</v>
      </c>
    </row>
    <row r="8" spans="2:18" ht="14" thickTop="1" x14ac:dyDescent="0.15">
      <c r="B8" s="428">
        <v>1</v>
      </c>
      <c r="C8" s="429" t="s">
        <v>27</v>
      </c>
      <c r="D8" s="430">
        <v>44928</v>
      </c>
      <c r="E8" s="459">
        <v>44956</v>
      </c>
      <c r="F8" s="431">
        <v>44984</v>
      </c>
      <c r="G8" s="431">
        <v>45012</v>
      </c>
      <c r="H8" s="432">
        <v>45040</v>
      </c>
      <c r="I8" s="433">
        <v>45068</v>
      </c>
      <c r="J8" s="431">
        <v>45096</v>
      </c>
      <c r="K8" s="431">
        <v>45124</v>
      </c>
      <c r="L8" s="431">
        <v>45152</v>
      </c>
      <c r="M8" s="431">
        <v>45180</v>
      </c>
      <c r="N8" s="431">
        <v>45208</v>
      </c>
      <c r="O8" s="432">
        <v>45236</v>
      </c>
      <c r="P8" s="434">
        <v>45264</v>
      </c>
    </row>
    <row r="9" spans="2:18" x14ac:dyDescent="0.15">
      <c r="B9" s="435" t="s">
        <v>1</v>
      </c>
      <c r="C9" s="436" t="s">
        <v>28</v>
      </c>
      <c r="D9" s="437">
        <v>44929</v>
      </c>
      <c r="E9" s="460">
        <v>44957</v>
      </c>
      <c r="F9" s="438">
        <v>44985</v>
      </c>
      <c r="G9" s="438">
        <v>45013</v>
      </c>
      <c r="H9" s="439">
        <v>45041</v>
      </c>
      <c r="I9" s="440">
        <v>45069</v>
      </c>
      <c r="J9" s="438">
        <v>45097</v>
      </c>
      <c r="K9" s="438">
        <v>45125</v>
      </c>
      <c r="L9" s="441">
        <v>45153</v>
      </c>
      <c r="M9" s="441">
        <v>45181</v>
      </c>
      <c r="N9" s="438">
        <v>45209</v>
      </c>
      <c r="O9" s="439">
        <v>45237</v>
      </c>
      <c r="P9" s="442">
        <v>45265</v>
      </c>
    </row>
    <row r="10" spans="2:18" x14ac:dyDescent="0.15">
      <c r="B10" s="435" t="s">
        <v>1</v>
      </c>
      <c r="C10" s="436" t="s">
        <v>29</v>
      </c>
      <c r="D10" s="437">
        <v>44930</v>
      </c>
      <c r="E10" s="438">
        <v>44958</v>
      </c>
      <c r="F10" s="438">
        <v>44986</v>
      </c>
      <c r="G10" s="438">
        <v>45014</v>
      </c>
      <c r="H10" s="439">
        <v>45042</v>
      </c>
      <c r="I10" s="440">
        <v>45070</v>
      </c>
      <c r="J10" s="438">
        <v>45098</v>
      </c>
      <c r="K10" s="438">
        <v>45126</v>
      </c>
      <c r="L10" s="441">
        <v>45154</v>
      </c>
      <c r="M10" s="441">
        <v>45182</v>
      </c>
      <c r="N10" s="438">
        <v>45210</v>
      </c>
      <c r="O10" s="439">
        <v>45238</v>
      </c>
      <c r="P10" s="442">
        <v>45266</v>
      </c>
    </row>
    <row r="11" spans="2:18" x14ac:dyDescent="0.15">
      <c r="B11" s="435" t="s">
        <v>1</v>
      </c>
      <c r="C11" s="436" t="s">
        <v>30</v>
      </c>
      <c r="D11" s="437">
        <v>44931</v>
      </c>
      <c r="E11" s="438">
        <v>44959</v>
      </c>
      <c r="F11" s="438">
        <v>44987</v>
      </c>
      <c r="G11" s="438">
        <v>45015</v>
      </c>
      <c r="H11" s="439">
        <v>45043</v>
      </c>
      <c r="I11" s="440">
        <v>45071</v>
      </c>
      <c r="J11" s="438">
        <v>45099</v>
      </c>
      <c r="K11" s="438">
        <v>45127</v>
      </c>
      <c r="L11" s="441">
        <v>45155</v>
      </c>
      <c r="M11" s="441">
        <v>45183</v>
      </c>
      <c r="N11" s="438">
        <v>45211</v>
      </c>
      <c r="O11" s="439">
        <v>45239</v>
      </c>
      <c r="P11" s="442">
        <v>45267</v>
      </c>
      <c r="R11" t="s">
        <v>1</v>
      </c>
    </row>
    <row r="12" spans="2:18" x14ac:dyDescent="0.15">
      <c r="B12" s="435" t="s">
        <v>1</v>
      </c>
      <c r="C12" s="436" t="s">
        <v>31</v>
      </c>
      <c r="D12" s="437">
        <v>44932</v>
      </c>
      <c r="E12" s="438">
        <v>44960</v>
      </c>
      <c r="F12" s="438">
        <v>44988</v>
      </c>
      <c r="G12" s="438">
        <v>45016</v>
      </c>
      <c r="H12" s="439">
        <v>45044</v>
      </c>
      <c r="I12" s="440">
        <v>45072</v>
      </c>
      <c r="J12" s="438">
        <v>45100</v>
      </c>
      <c r="K12" s="438">
        <v>45128</v>
      </c>
      <c r="L12" s="441">
        <v>45156</v>
      </c>
      <c r="M12" s="441">
        <v>45184</v>
      </c>
      <c r="N12" s="438">
        <v>45212</v>
      </c>
      <c r="O12" s="439">
        <v>45240</v>
      </c>
      <c r="P12" s="442">
        <v>45268</v>
      </c>
    </row>
    <row r="13" spans="2:18" x14ac:dyDescent="0.15">
      <c r="B13" s="435" t="s">
        <v>1</v>
      </c>
      <c r="C13" s="436" t="s">
        <v>32</v>
      </c>
      <c r="D13" s="437">
        <v>44933</v>
      </c>
      <c r="E13" s="438">
        <v>44961</v>
      </c>
      <c r="F13" s="438">
        <v>44989</v>
      </c>
      <c r="G13" s="438">
        <v>45017</v>
      </c>
      <c r="H13" s="439">
        <v>45045</v>
      </c>
      <c r="I13" s="440">
        <v>45073</v>
      </c>
      <c r="J13" s="438">
        <v>45101</v>
      </c>
      <c r="K13" s="438">
        <v>45129</v>
      </c>
      <c r="L13" s="441">
        <v>45157</v>
      </c>
      <c r="M13" s="441">
        <v>45185</v>
      </c>
      <c r="N13" s="438">
        <v>45213</v>
      </c>
      <c r="O13" s="439">
        <v>45241</v>
      </c>
      <c r="P13" s="442">
        <v>45269</v>
      </c>
    </row>
    <row r="14" spans="2:18" ht="14" thickBot="1" x14ac:dyDescent="0.2">
      <c r="B14" s="443" t="s">
        <v>1</v>
      </c>
      <c r="C14" s="444" t="s">
        <v>33</v>
      </c>
      <c r="D14" s="445">
        <v>44934</v>
      </c>
      <c r="E14" s="446">
        <v>44962</v>
      </c>
      <c r="F14" s="446">
        <v>44990</v>
      </c>
      <c r="G14" s="446">
        <v>45018</v>
      </c>
      <c r="H14" s="446">
        <v>45046</v>
      </c>
      <c r="I14" s="446">
        <v>45074</v>
      </c>
      <c r="J14" s="446">
        <v>45102</v>
      </c>
      <c r="K14" s="446">
        <v>45130</v>
      </c>
      <c r="L14" s="447">
        <v>45158</v>
      </c>
      <c r="M14" s="447">
        <v>45186</v>
      </c>
      <c r="N14" s="446">
        <v>45214</v>
      </c>
      <c r="O14" s="448">
        <v>45242</v>
      </c>
      <c r="P14" s="449">
        <v>45270</v>
      </c>
    </row>
    <row r="15" spans="2:18" ht="14" thickTop="1" x14ac:dyDescent="0.15">
      <c r="B15" s="450">
        <v>2</v>
      </c>
      <c r="C15" s="436" t="str">
        <f>C8</f>
        <v>Lundi</v>
      </c>
      <c r="D15" s="437">
        <v>44935</v>
      </c>
      <c r="E15" s="438">
        <v>44963</v>
      </c>
      <c r="F15" s="438">
        <v>44991</v>
      </c>
      <c r="G15" s="438">
        <v>45019</v>
      </c>
      <c r="H15" s="438">
        <v>45047</v>
      </c>
      <c r="I15" s="451">
        <v>45075</v>
      </c>
      <c r="J15" s="438">
        <v>45103</v>
      </c>
      <c r="K15" s="438">
        <v>45131</v>
      </c>
      <c r="L15" s="441">
        <v>45159</v>
      </c>
      <c r="M15" s="441">
        <v>45187</v>
      </c>
      <c r="N15" s="438">
        <v>45215</v>
      </c>
      <c r="O15" s="439">
        <v>45243</v>
      </c>
      <c r="P15" s="442">
        <v>45271</v>
      </c>
    </row>
    <row r="16" spans="2:18" x14ac:dyDescent="0.15">
      <c r="B16" s="435" t="s">
        <v>1</v>
      </c>
      <c r="C16" s="436" t="str">
        <f>C9</f>
        <v>Mardi</v>
      </c>
      <c r="D16" s="437">
        <v>44936</v>
      </c>
      <c r="E16" s="438">
        <v>44964</v>
      </c>
      <c r="F16" s="438">
        <v>44992</v>
      </c>
      <c r="G16" s="438">
        <v>45020</v>
      </c>
      <c r="H16" s="438">
        <v>45048</v>
      </c>
      <c r="I16" s="452">
        <v>45076</v>
      </c>
      <c r="J16" s="438">
        <v>45104</v>
      </c>
      <c r="K16" s="438">
        <v>45132</v>
      </c>
      <c r="L16" s="441">
        <v>45160</v>
      </c>
      <c r="M16" s="441">
        <v>45188</v>
      </c>
      <c r="N16" s="438">
        <v>45216</v>
      </c>
      <c r="O16" s="439">
        <v>45244</v>
      </c>
      <c r="P16" s="442">
        <v>45272</v>
      </c>
    </row>
    <row r="17" spans="2:16" x14ac:dyDescent="0.15">
      <c r="B17" s="435" t="s">
        <v>1</v>
      </c>
      <c r="C17" s="436" t="str">
        <f t="shared" ref="C17:C35" si="1">+C10</f>
        <v>Mercredi</v>
      </c>
      <c r="D17" s="437">
        <v>44937</v>
      </c>
      <c r="E17" s="438">
        <v>44965</v>
      </c>
      <c r="F17" s="438">
        <v>44993</v>
      </c>
      <c r="G17" s="438">
        <v>45021</v>
      </c>
      <c r="H17" s="438">
        <v>45049</v>
      </c>
      <c r="I17" s="452">
        <v>45077</v>
      </c>
      <c r="J17" s="438">
        <v>45105</v>
      </c>
      <c r="K17" s="438">
        <v>45133</v>
      </c>
      <c r="L17" s="441">
        <v>45161</v>
      </c>
      <c r="M17" s="441">
        <v>45189</v>
      </c>
      <c r="N17" s="438">
        <v>45217</v>
      </c>
      <c r="O17" s="439">
        <v>45245</v>
      </c>
      <c r="P17" s="442">
        <v>45273</v>
      </c>
    </row>
    <row r="18" spans="2:16" x14ac:dyDescent="0.15">
      <c r="B18" s="435" t="s">
        <v>1</v>
      </c>
      <c r="C18" s="436" t="str">
        <f t="shared" si="1"/>
        <v>Jeudi</v>
      </c>
      <c r="D18" s="437">
        <v>44938</v>
      </c>
      <c r="E18" s="438">
        <v>44966</v>
      </c>
      <c r="F18" s="438">
        <v>44994</v>
      </c>
      <c r="G18" s="438">
        <v>45022</v>
      </c>
      <c r="H18" s="438">
        <v>45050</v>
      </c>
      <c r="I18" s="452">
        <v>45078</v>
      </c>
      <c r="J18" s="438">
        <v>45106</v>
      </c>
      <c r="K18" s="438">
        <v>45134</v>
      </c>
      <c r="L18" s="441">
        <v>45162</v>
      </c>
      <c r="M18" s="441">
        <v>45190</v>
      </c>
      <c r="N18" s="438">
        <v>45218</v>
      </c>
      <c r="O18" s="439">
        <v>45246</v>
      </c>
      <c r="P18" s="442">
        <v>45274</v>
      </c>
    </row>
    <row r="19" spans="2:16" x14ac:dyDescent="0.15">
      <c r="B19" s="435" t="s">
        <v>1</v>
      </c>
      <c r="C19" s="436" t="str">
        <f t="shared" si="1"/>
        <v>Vendredi</v>
      </c>
      <c r="D19" s="437">
        <v>44939</v>
      </c>
      <c r="E19" s="438">
        <v>44967</v>
      </c>
      <c r="F19" s="438">
        <v>44995</v>
      </c>
      <c r="G19" s="438">
        <v>45023</v>
      </c>
      <c r="H19" s="438">
        <v>45051</v>
      </c>
      <c r="I19" s="452">
        <v>45079</v>
      </c>
      <c r="J19" s="438">
        <v>45107</v>
      </c>
      <c r="K19" s="438">
        <v>45135</v>
      </c>
      <c r="L19" s="441">
        <v>45163</v>
      </c>
      <c r="M19" s="441">
        <v>45191</v>
      </c>
      <c r="N19" s="438">
        <v>45219</v>
      </c>
      <c r="O19" s="439">
        <v>45247</v>
      </c>
      <c r="P19" s="442">
        <v>45275</v>
      </c>
    </row>
    <row r="20" spans="2:16" x14ac:dyDescent="0.15">
      <c r="B20" s="435" t="s">
        <v>1</v>
      </c>
      <c r="C20" s="436" t="str">
        <f t="shared" si="1"/>
        <v>Samedi</v>
      </c>
      <c r="D20" s="437">
        <v>44940</v>
      </c>
      <c r="E20" s="438">
        <v>44968</v>
      </c>
      <c r="F20" s="438">
        <v>44996</v>
      </c>
      <c r="G20" s="438">
        <v>45024</v>
      </c>
      <c r="H20" s="438">
        <v>45052</v>
      </c>
      <c r="I20" s="433">
        <v>45080</v>
      </c>
      <c r="J20" s="438">
        <v>45108</v>
      </c>
      <c r="K20" s="438">
        <v>45136</v>
      </c>
      <c r="L20" s="441">
        <v>45164</v>
      </c>
      <c r="M20" s="441">
        <v>45192</v>
      </c>
      <c r="N20" s="438">
        <v>45220</v>
      </c>
      <c r="O20" s="439">
        <v>45248</v>
      </c>
      <c r="P20" s="442">
        <v>45276</v>
      </c>
    </row>
    <row r="21" spans="2:16" ht="14" thickBot="1" x14ac:dyDescent="0.2">
      <c r="B21" s="443" t="s">
        <v>1</v>
      </c>
      <c r="C21" s="444" t="str">
        <f t="shared" si="1"/>
        <v>Dimanche</v>
      </c>
      <c r="D21" s="453">
        <v>44941</v>
      </c>
      <c r="E21" s="446">
        <v>44969</v>
      </c>
      <c r="F21" s="446">
        <v>44997</v>
      </c>
      <c r="G21" s="446">
        <v>45025</v>
      </c>
      <c r="H21" s="446">
        <v>45053</v>
      </c>
      <c r="I21" s="446">
        <v>45081</v>
      </c>
      <c r="J21" s="446">
        <v>45109</v>
      </c>
      <c r="K21" s="446">
        <v>45137</v>
      </c>
      <c r="L21" s="447">
        <v>45165</v>
      </c>
      <c r="M21" s="447">
        <v>45193</v>
      </c>
      <c r="N21" s="446">
        <v>45221</v>
      </c>
      <c r="O21" s="448">
        <v>45249</v>
      </c>
      <c r="P21" s="449">
        <v>45277</v>
      </c>
    </row>
    <row r="22" spans="2:16" ht="14" thickTop="1" x14ac:dyDescent="0.15">
      <c r="B22" s="450">
        <v>3</v>
      </c>
      <c r="C22" s="436" t="str">
        <f t="shared" si="1"/>
        <v>Lundi</v>
      </c>
      <c r="D22" s="437">
        <v>44942</v>
      </c>
      <c r="E22" s="438">
        <v>44970</v>
      </c>
      <c r="F22" s="438">
        <v>44998</v>
      </c>
      <c r="G22" s="438">
        <v>45026</v>
      </c>
      <c r="H22" s="438">
        <v>45054</v>
      </c>
      <c r="I22" s="438">
        <v>45082</v>
      </c>
      <c r="J22" s="438">
        <v>45110</v>
      </c>
      <c r="K22" s="438">
        <v>45138</v>
      </c>
      <c r="L22" s="441">
        <v>45166</v>
      </c>
      <c r="M22" s="441">
        <v>45194</v>
      </c>
      <c r="N22" s="438">
        <v>45222</v>
      </c>
      <c r="O22" s="439">
        <v>45250</v>
      </c>
      <c r="P22" s="442">
        <v>45278</v>
      </c>
    </row>
    <row r="23" spans="2:16" x14ac:dyDescent="0.15">
      <c r="B23" s="435" t="s">
        <v>1</v>
      </c>
      <c r="C23" s="436" t="str">
        <f t="shared" si="1"/>
        <v>Mardi</v>
      </c>
      <c r="D23" s="437">
        <v>44943</v>
      </c>
      <c r="E23" s="460">
        <v>44971</v>
      </c>
      <c r="F23" s="438">
        <v>44999</v>
      </c>
      <c r="G23" s="438">
        <v>45027</v>
      </c>
      <c r="H23" s="438">
        <v>45055</v>
      </c>
      <c r="I23" s="438">
        <v>45083</v>
      </c>
      <c r="J23" s="438">
        <v>45111</v>
      </c>
      <c r="K23" s="438">
        <v>45139</v>
      </c>
      <c r="L23" s="441">
        <v>45167</v>
      </c>
      <c r="M23" s="441">
        <v>45195</v>
      </c>
      <c r="N23" s="438">
        <v>45223</v>
      </c>
      <c r="O23" s="439">
        <v>45251</v>
      </c>
      <c r="P23" s="442">
        <v>45279</v>
      </c>
    </row>
    <row r="24" spans="2:16" x14ac:dyDescent="0.15">
      <c r="B24" s="435" t="s">
        <v>1</v>
      </c>
      <c r="C24" s="436" t="str">
        <f t="shared" si="1"/>
        <v>Mercredi</v>
      </c>
      <c r="D24" s="437">
        <v>44944</v>
      </c>
      <c r="E24" s="438">
        <v>44972</v>
      </c>
      <c r="F24" s="438">
        <v>45000</v>
      </c>
      <c r="G24" s="438">
        <v>45028</v>
      </c>
      <c r="H24" s="438">
        <v>45056</v>
      </c>
      <c r="I24" s="438">
        <v>45084</v>
      </c>
      <c r="J24" s="438">
        <v>45112</v>
      </c>
      <c r="K24" s="438">
        <v>45140</v>
      </c>
      <c r="L24" s="441">
        <v>45168</v>
      </c>
      <c r="M24" s="441">
        <v>45196</v>
      </c>
      <c r="N24" s="438">
        <v>45224</v>
      </c>
      <c r="O24" s="439">
        <v>45252</v>
      </c>
      <c r="P24" s="442">
        <v>45280</v>
      </c>
    </row>
    <row r="25" spans="2:16" x14ac:dyDescent="0.15">
      <c r="B25" s="435" t="s">
        <v>1</v>
      </c>
      <c r="C25" s="436" t="str">
        <f t="shared" si="1"/>
        <v>Jeudi</v>
      </c>
      <c r="D25" s="437">
        <v>44945</v>
      </c>
      <c r="E25" s="438">
        <v>44973</v>
      </c>
      <c r="F25" s="438">
        <v>45001</v>
      </c>
      <c r="G25" s="438">
        <v>45029</v>
      </c>
      <c r="H25" s="438">
        <v>45057</v>
      </c>
      <c r="I25" s="438">
        <v>45085</v>
      </c>
      <c r="J25" s="438">
        <v>45113</v>
      </c>
      <c r="K25" s="438">
        <v>45141</v>
      </c>
      <c r="L25" s="441">
        <v>45169</v>
      </c>
      <c r="M25" s="441">
        <v>45197</v>
      </c>
      <c r="N25" s="438">
        <v>45225</v>
      </c>
      <c r="O25" s="439">
        <v>45253</v>
      </c>
      <c r="P25" s="442">
        <v>45281</v>
      </c>
    </row>
    <row r="26" spans="2:16" x14ac:dyDescent="0.15">
      <c r="B26" s="435" t="s">
        <v>1</v>
      </c>
      <c r="C26" s="436" t="str">
        <f t="shared" si="1"/>
        <v>Vendredi</v>
      </c>
      <c r="D26" s="437">
        <v>44946</v>
      </c>
      <c r="E26" s="438">
        <v>44974</v>
      </c>
      <c r="F26" s="438">
        <v>45002</v>
      </c>
      <c r="G26" s="438">
        <v>45030</v>
      </c>
      <c r="H26" s="438">
        <v>45058</v>
      </c>
      <c r="I26" s="438">
        <v>45086</v>
      </c>
      <c r="J26" s="438">
        <v>45114</v>
      </c>
      <c r="K26" s="438">
        <v>45142</v>
      </c>
      <c r="L26" s="441">
        <v>45170</v>
      </c>
      <c r="M26" s="441">
        <v>45198</v>
      </c>
      <c r="N26" s="438">
        <v>45226</v>
      </c>
      <c r="O26" s="439">
        <v>45254</v>
      </c>
      <c r="P26" s="442">
        <v>45282</v>
      </c>
    </row>
    <row r="27" spans="2:16" x14ac:dyDescent="0.15">
      <c r="B27" s="435" t="s">
        <v>1</v>
      </c>
      <c r="C27" s="436" t="str">
        <f t="shared" si="1"/>
        <v>Samedi</v>
      </c>
      <c r="D27" s="437">
        <v>44947</v>
      </c>
      <c r="E27" s="438">
        <v>44975</v>
      </c>
      <c r="F27" s="438">
        <v>45003</v>
      </c>
      <c r="G27" s="438">
        <v>45031</v>
      </c>
      <c r="H27" s="438">
        <v>45059</v>
      </c>
      <c r="I27" s="438">
        <v>45087</v>
      </c>
      <c r="J27" s="438">
        <v>45115</v>
      </c>
      <c r="K27" s="438">
        <v>45143</v>
      </c>
      <c r="L27" s="441">
        <v>45171</v>
      </c>
      <c r="M27" s="441">
        <v>45199</v>
      </c>
      <c r="N27" s="438">
        <v>45227</v>
      </c>
      <c r="O27" s="439">
        <v>45255</v>
      </c>
      <c r="P27" s="442">
        <v>45283</v>
      </c>
    </row>
    <row r="28" spans="2:16" ht="14" thickBot="1" x14ac:dyDescent="0.2">
      <c r="B28" s="443" t="s">
        <v>1</v>
      </c>
      <c r="C28" s="444" t="str">
        <f t="shared" si="1"/>
        <v>Dimanche</v>
      </c>
      <c r="D28" s="453">
        <v>44948</v>
      </c>
      <c r="E28" s="446">
        <v>44976</v>
      </c>
      <c r="F28" s="446">
        <v>45004</v>
      </c>
      <c r="G28" s="446">
        <v>45032</v>
      </c>
      <c r="H28" s="446">
        <v>45060</v>
      </c>
      <c r="I28" s="446">
        <v>45088</v>
      </c>
      <c r="J28" s="446">
        <v>45116</v>
      </c>
      <c r="K28" s="446">
        <v>45144</v>
      </c>
      <c r="L28" s="447">
        <v>45172</v>
      </c>
      <c r="M28" s="447">
        <v>45200</v>
      </c>
      <c r="N28" s="454">
        <v>45228</v>
      </c>
      <c r="O28" s="448">
        <v>45256</v>
      </c>
      <c r="P28" s="449">
        <v>45284</v>
      </c>
    </row>
    <row r="29" spans="2:16" ht="14" thickTop="1" x14ac:dyDescent="0.15">
      <c r="B29" s="450">
        <v>4</v>
      </c>
      <c r="C29" s="436" t="str">
        <f t="shared" si="1"/>
        <v>Lundi</v>
      </c>
      <c r="D29" s="437">
        <v>44949</v>
      </c>
      <c r="E29" s="438">
        <v>44977</v>
      </c>
      <c r="F29" s="438">
        <v>45005</v>
      </c>
      <c r="G29" s="438">
        <v>45033</v>
      </c>
      <c r="H29" s="438">
        <v>45061</v>
      </c>
      <c r="I29" s="438">
        <v>45089</v>
      </c>
      <c r="J29" s="438">
        <v>45117</v>
      </c>
      <c r="K29" s="438">
        <v>45145</v>
      </c>
      <c r="L29" s="441">
        <v>45173</v>
      </c>
      <c r="M29" s="441">
        <v>45201</v>
      </c>
      <c r="N29" s="438">
        <v>45229</v>
      </c>
      <c r="O29" s="439">
        <v>45257</v>
      </c>
      <c r="P29" s="461">
        <v>45285</v>
      </c>
    </row>
    <row r="30" spans="2:16" x14ac:dyDescent="0.15">
      <c r="B30" s="435" t="s">
        <v>1</v>
      </c>
      <c r="C30" s="436" t="str">
        <f t="shared" si="1"/>
        <v>Mardi</v>
      </c>
      <c r="D30" s="437">
        <v>44950</v>
      </c>
      <c r="E30" s="438">
        <v>44978</v>
      </c>
      <c r="F30" s="438">
        <v>45006</v>
      </c>
      <c r="G30" s="438">
        <v>45034</v>
      </c>
      <c r="H30" s="438">
        <v>45062</v>
      </c>
      <c r="I30" s="438">
        <v>45090</v>
      </c>
      <c r="J30" s="438">
        <v>45118</v>
      </c>
      <c r="K30" s="438">
        <v>45146</v>
      </c>
      <c r="L30" s="441">
        <v>45174</v>
      </c>
      <c r="M30" s="441">
        <v>45202</v>
      </c>
      <c r="N30" s="438">
        <v>45230</v>
      </c>
      <c r="O30" s="439">
        <v>45258</v>
      </c>
      <c r="P30" s="461">
        <v>45286</v>
      </c>
    </row>
    <row r="31" spans="2:16" x14ac:dyDescent="0.15">
      <c r="B31" s="435" t="s">
        <v>1</v>
      </c>
      <c r="C31" s="436" t="str">
        <f t="shared" si="1"/>
        <v>Mercredi</v>
      </c>
      <c r="D31" s="437">
        <v>44951</v>
      </c>
      <c r="E31" s="438">
        <v>44979</v>
      </c>
      <c r="F31" s="438">
        <v>45007</v>
      </c>
      <c r="G31" s="438">
        <v>45035</v>
      </c>
      <c r="H31" s="438">
        <v>45063</v>
      </c>
      <c r="I31" s="438">
        <v>45091</v>
      </c>
      <c r="J31" s="438">
        <v>45119</v>
      </c>
      <c r="K31" s="438">
        <v>45147</v>
      </c>
      <c r="L31" s="441">
        <v>45175</v>
      </c>
      <c r="M31" s="441">
        <v>45203</v>
      </c>
      <c r="N31" s="438">
        <v>45231</v>
      </c>
      <c r="O31" s="439">
        <v>45259</v>
      </c>
      <c r="P31" s="442">
        <v>45287</v>
      </c>
    </row>
    <row r="32" spans="2:16" x14ac:dyDescent="0.15">
      <c r="B32" s="435" t="s">
        <v>1</v>
      </c>
      <c r="C32" s="436" t="str">
        <f t="shared" si="1"/>
        <v>Jeudi</v>
      </c>
      <c r="D32" s="437">
        <v>44952</v>
      </c>
      <c r="E32" s="438">
        <v>44980</v>
      </c>
      <c r="F32" s="438">
        <v>45008</v>
      </c>
      <c r="G32" s="438">
        <v>45036</v>
      </c>
      <c r="H32" s="438">
        <v>45064</v>
      </c>
      <c r="I32" s="438">
        <v>45092</v>
      </c>
      <c r="J32" s="438">
        <v>45120</v>
      </c>
      <c r="K32" s="438">
        <v>45148</v>
      </c>
      <c r="L32" s="441">
        <v>45176</v>
      </c>
      <c r="M32" s="441">
        <v>45204</v>
      </c>
      <c r="N32" s="438">
        <v>45232</v>
      </c>
      <c r="O32" s="439">
        <v>45260</v>
      </c>
      <c r="P32" s="442">
        <v>45288</v>
      </c>
    </row>
    <row r="33" spans="2:16" x14ac:dyDescent="0.15">
      <c r="B33" s="435" t="s">
        <v>1</v>
      </c>
      <c r="C33" s="436" t="str">
        <f t="shared" si="1"/>
        <v>Vendredi</v>
      </c>
      <c r="D33" s="437">
        <v>44953</v>
      </c>
      <c r="E33" s="438">
        <v>44981</v>
      </c>
      <c r="F33" s="438">
        <v>45009</v>
      </c>
      <c r="G33" s="438">
        <v>45037</v>
      </c>
      <c r="H33" s="438">
        <v>45065</v>
      </c>
      <c r="I33" s="438">
        <v>45093</v>
      </c>
      <c r="J33" s="438">
        <v>45121</v>
      </c>
      <c r="K33" s="438">
        <v>45149</v>
      </c>
      <c r="L33" s="441">
        <v>45177</v>
      </c>
      <c r="M33" s="441">
        <v>45205</v>
      </c>
      <c r="N33" s="438">
        <v>45233</v>
      </c>
      <c r="O33" s="439">
        <v>45261</v>
      </c>
      <c r="P33" s="442">
        <v>45289</v>
      </c>
    </row>
    <row r="34" spans="2:16" x14ac:dyDescent="0.15">
      <c r="B34" s="435" t="s">
        <v>1</v>
      </c>
      <c r="C34" s="436" t="str">
        <f t="shared" si="1"/>
        <v>Samedi</v>
      </c>
      <c r="D34" s="437">
        <v>44954</v>
      </c>
      <c r="E34" s="438">
        <v>44982</v>
      </c>
      <c r="F34" s="438">
        <v>45010</v>
      </c>
      <c r="G34" s="438">
        <v>45038</v>
      </c>
      <c r="H34" s="438">
        <v>45066</v>
      </c>
      <c r="I34" s="438">
        <v>45094</v>
      </c>
      <c r="J34" s="438">
        <v>45122</v>
      </c>
      <c r="K34" s="438">
        <v>45150</v>
      </c>
      <c r="L34" s="441">
        <v>45178</v>
      </c>
      <c r="M34" s="441">
        <v>45206</v>
      </c>
      <c r="N34" s="438">
        <v>45234</v>
      </c>
      <c r="O34" s="439">
        <v>45262</v>
      </c>
      <c r="P34" s="442">
        <v>45290</v>
      </c>
    </row>
    <row r="35" spans="2:16" ht="14" thickBot="1" x14ac:dyDescent="0.2">
      <c r="B35" s="443"/>
      <c r="C35" s="444" t="str">
        <f t="shared" si="1"/>
        <v>Dimanche</v>
      </c>
      <c r="D35" s="453">
        <v>44955</v>
      </c>
      <c r="E35" s="446">
        <v>44983</v>
      </c>
      <c r="F35" s="446">
        <v>45011</v>
      </c>
      <c r="G35" s="446">
        <v>45039</v>
      </c>
      <c r="H35" s="446">
        <v>45067</v>
      </c>
      <c r="I35" s="446">
        <v>45095</v>
      </c>
      <c r="J35" s="446">
        <v>45123</v>
      </c>
      <c r="K35" s="446">
        <v>45151</v>
      </c>
      <c r="L35" s="447">
        <v>45179</v>
      </c>
      <c r="M35" s="447">
        <v>45207</v>
      </c>
      <c r="N35" s="446">
        <v>45235</v>
      </c>
      <c r="O35" s="448">
        <v>45263</v>
      </c>
      <c r="P35" s="449">
        <v>45291</v>
      </c>
    </row>
    <row r="36" spans="2:16" ht="14" thickTop="1" x14ac:dyDescent="0.15"/>
    <row r="51" spans="2:2" x14ac:dyDescent="0.15">
      <c r="B51" s="455" t="s">
        <v>1</v>
      </c>
    </row>
    <row r="52" spans="2:2" x14ac:dyDescent="0.15">
      <c r="B52" s="455" t="s">
        <v>1</v>
      </c>
    </row>
    <row r="53" spans="2:2" x14ac:dyDescent="0.15">
      <c r="B53" s="455" t="s">
        <v>1</v>
      </c>
    </row>
  </sheetData>
  <sheetProtection algorithmName="SHA-512" hashValue="hKflPWSbcivC1jgibpBtgz0bYogf3V8X20WcQbEwF2paopzXQmS9vwxd8oSVpTlMiJVRrRGlGoKkmEo5/hDwWg==" saltValue="uhCBxEWmhiUtMM/Wb5TMdw==" spinCount="100000" sheet="1" objects="1" scenarios="1"/>
  <mergeCells count="6">
    <mergeCell ref="B2:P2"/>
    <mergeCell ref="B3:P3"/>
    <mergeCell ref="B4:P4"/>
    <mergeCell ref="B6:C6"/>
    <mergeCell ref="B7:C7"/>
    <mergeCell ref="B5:C5"/>
  </mergeCells>
  <pageMargins left="0.75" right="0.75" top="1" bottom="1" header="0.4921259845" footer="0.492125984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46799-9EB6-9E47-87A4-7013AD13A7BA}">
  <sheetPr>
    <tabColor theme="1"/>
  </sheetPr>
  <dimension ref="B1:Y342"/>
  <sheetViews>
    <sheetView zoomScale="126" zoomScaleNormal="126" zoomScalePageLayoutView="125" workbookViewId="0">
      <pane xSplit="3" ySplit="8" topLeftCell="D9" activePane="bottomRight" state="frozen"/>
      <selection pane="topRight" activeCell="D1" sqref="D1"/>
      <selection pane="bottomLeft" activeCell="A9" sqref="A9"/>
      <selection pane="bottomRight" activeCell="B4" sqref="B4:Q4"/>
    </sheetView>
  </sheetViews>
  <sheetFormatPr baseColWidth="10" defaultRowHeight="13" x14ac:dyDescent="0.15"/>
  <cols>
    <col min="1" max="1" width="1.5" customWidth="1"/>
    <col min="2" max="2" width="2.1640625" customWidth="1"/>
    <col min="3" max="3" width="16.33203125" bestFit="1" customWidth="1"/>
    <col min="4" max="17" width="15.83203125" customWidth="1"/>
    <col min="18" max="18" width="2.33203125" customWidth="1"/>
    <col min="19" max="20" width="15.83203125" customWidth="1"/>
    <col min="21" max="21" width="5.1640625" customWidth="1"/>
    <col min="22" max="22" width="14.6640625" customWidth="1"/>
    <col min="24" max="24" width="12.5" bestFit="1" customWidth="1"/>
    <col min="26" max="27" width="12.33203125" bestFit="1" customWidth="1"/>
  </cols>
  <sheetData>
    <row r="1" spans="2:21" ht="14" thickBot="1" x14ac:dyDescent="0.2"/>
    <row r="2" spans="2:21" ht="32" customHeight="1" thickTop="1" x14ac:dyDescent="0.15">
      <c r="B2" s="578" t="s">
        <v>36</v>
      </c>
      <c r="C2" s="579"/>
      <c r="D2" s="579"/>
      <c r="E2" s="579"/>
      <c r="F2" s="579"/>
      <c r="G2" s="579"/>
      <c r="H2" s="579"/>
      <c r="I2" s="579"/>
      <c r="J2" s="579"/>
      <c r="K2" s="579"/>
      <c r="L2" s="579"/>
      <c r="M2" s="579"/>
      <c r="N2" s="579"/>
      <c r="O2" s="579"/>
      <c r="P2" s="580"/>
      <c r="Q2" s="581"/>
      <c r="R2" s="62"/>
      <c r="S2" s="469"/>
      <c r="T2" s="470"/>
      <c r="U2" s="49"/>
    </row>
    <row r="3" spans="2:21" ht="20" customHeight="1" x14ac:dyDescent="0.15">
      <c r="B3" s="582" t="s">
        <v>35</v>
      </c>
      <c r="C3" s="583"/>
      <c r="D3" s="583"/>
      <c r="E3" s="583"/>
      <c r="F3" s="583"/>
      <c r="G3" s="583"/>
      <c r="H3" s="583"/>
      <c r="I3" s="583"/>
      <c r="J3" s="583"/>
      <c r="K3" s="583"/>
      <c r="L3" s="583"/>
      <c r="M3" s="583"/>
      <c r="N3" s="583"/>
      <c r="O3" s="583"/>
      <c r="P3" s="584"/>
      <c r="Q3" s="585"/>
      <c r="R3" s="62"/>
      <c r="S3" s="471"/>
      <c r="T3" s="472"/>
      <c r="U3" s="49"/>
    </row>
    <row r="4" spans="2:21" ht="13" customHeight="1" thickBot="1" x14ac:dyDescent="0.2">
      <c r="B4" s="586" t="s">
        <v>196</v>
      </c>
      <c r="C4" s="587"/>
      <c r="D4" s="587"/>
      <c r="E4" s="587"/>
      <c r="F4" s="587"/>
      <c r="G4" s="587"/>
      <c r="H4" s="587"/>
      <c r="I4" s="587"/>
      <c r="J4" s="587"/>
      <c r="K4" s="587"/>
      <c r="L4" s="587"/>
      <c r="M4" s="587"/>
      <c r="N4" s="587"/>
      <c r="O4" s="587"/>
      <c r="P4" s="544"/>
      <c r="Q4" s="588"/>
      <c r="R4" s="62"/>
      <c r="S4" s="473" t="s">
        <v>1</v>
      </c>
      <c r="T4" s="474"/>
      <c r="U4" s="49"/>
    </row>
    <row r="5" spans="2:21" ht="14" thickTop="1" x14ac:dyDescent="0.15">
      <c r="B5" s="1"/>
      <c r="C5" s="2"/>
      <c r="D5" s="3" t="str">
        <f>'Calendrier 2023'!D5</f>
        <v>Pér.01</v>
      </c>
      <c r="E5" s="3" t="str">
        <f>'Calendrier 2023'!E5</f>
        <v>Pér.02</v>
      </c>
      <c r="F5" s="3" t="str">
        <f>'Calendrier 2023'!F5</f>
        <v>Pér.03</v>
      </c>
      <c r="G5" s="3" t="str">
        <f>'Calendrier 2023'!G5</f>
        <v>Pér.04</v>
      </c>
      <c r="H5" s="3" t="str">
        <f>'Calendrier 2023'!H5</f>
        <v>Pér.05</v>
      </c>
      <c r="I5" s="3" t="str">
        <f>'Calendrier 2023'!I5</f>
        <v>Pér.06</v>
      </c>
      <c r="J5" s="3" t="str">
        <f>'Calendrier 2023'!J5</f>
        <v>Pér.07</v>
      </c>
      <c r="K5" s="3" t="str">
        <f>'Calendrier 2023'!K5</f>
        <v>Pér.08</v>
      </c>
      <c r="L5" s="3" t="str">
        <f>'Calendrier 2023'!L5</f>
        <v>Pér.09</v>
      </c>
      <c r="M5" s="3" t="str">
        <f>'Calendrier 2023'!M5</f>
        <v>Pér.10</v>
      </c>
      <c r="N5" s="3" t="str">
        <f>'Calendrier 2023'!N5</f>
        <v>Pér.11</v>
      </c>
      <c r="O5" s="3" t="str">
        <f>'Calendrier 2023'!O5</f>
        <v>Pér.12</v>
      </c>
      <c r="P5" s="456" t="str">
        <f>'Calendrier 2023'!P5</f>
        <v>Pér.13</v>
      </c>
      <c r="Q5" s="457" t="s">
        <v>37</v>
      </c>
      <c r="R5" s="53"/>
      <c r="S5" s="107"/>
      <c r="T5" s="108"/>
      <c r="U5" s="53"/>
    </row>
    <row r="6" spans="2:21" ht="14" thickBot="1" x14ac:dyDescent="0.2">
      <c r="B6" s="4"/>
      <c r="C6" s="5"/>
      <c r="D6" s="475">
        <f>'Calendrier 2023'!D8</f>
        <v>44928</v>
      </c>
      <c r="E6" s="475">
        <f>'Calendrier 2023'!E8</f>
        <v>44956</v>
      </c>
      <c r="F6" s="475">
        <f>'Calendrier 2023'!F8</f>
        <v>44984</v>
      </c>
      <c r="G6" s="475">
        <f>'Calendrier 2023'!G8</f>
        <v>45012</v>
      </c>
      <c r="H6" s="475">
        <f>'Calendrier 2023'!H8</f>
        <v>45040</v>
      </c>
      <c r="I6" s="475">
        <f>'Calendrier 2023'!I8</f>
        <v>45068</v>
      </c>
      <c r="J6" s="475">
        <f>'Calendrier 2023'!J8</f>
        <v>45096</v>
      </c>
      <c r="K6" s="475">
        <f>'Calendrier 2023'!K8</f>
        <v>45124</v>
      </c>
      <c r="L6" s="475">
        <f>'Calendrier 2023'!L8</f>
        <v>45152</v>
      </c>
      <c r="M6" s="475">
        <f>'Calendrier 2023'!M8</f>
        <v>45180</v>
      </c>
      <c r="N6" s="475">
        <f>'Calendrier 2023'!N8</f>
        <v>45208</v>
      </c>
      <c r="O6" s="475">
        <f>'Calendrier 2023'!O8</f>
        <v>45236</v>
      </c>
      <c r="P6" s="476">
        <f>'Calendrier 2023'!P8</f>
        <v>45264</v>
      </c>
      <c r="Q6" s="458" t="s">
        <v>9</v>
      </c>
      <c r="R6" s="63"/>
      <c r="S6" s="109"/>
      <c r="T6" s="110"/>
      <c r="U6" s="54"/>
    </row>
    <row r="7" spans="2:21" ht="15" thickTop="1" thickBot="1" x14ac:dyDescent="0.2">
      <c r="B7" s="574" t="s">
        <v>26</v>
      </c>
      <c r="C7" s="575"/>
      <c r="D7" s="482">
        <f>'Calendrier 2023'!D6</f>
        <v>28</v>
      </c>
      <c r="E7" s="6">
        <f>+D7</f>
        <v>28</v>
      </c>
      <c r="F7" s="6">
        <f>+E7</f>
        <v>28</v>
      </c>
      <c r="G7" s="6">
        <f t="shared" ref="G7:P7" si="0">+F7</f>
        <v>28</v>
      </c>
      <c r="H7" s="6">
        <f t="shared" si="0"/>
        <v>28</v>
      </c>
      <c r="I7" s="6">
        <f t="shared" si="0"/>
        <v>28</v>
      </c>
      <c r="J7" s="6">
        <f t="shared" si="0"/>
        <v>28</v>
      </c>
      <c r="K7" s="6">
        <f t="shared" si="0"/>
        <v>28</v>
      </c>
      <c r="L7" s="6">
        <f t="shared" si="0"/>
        <v>28</v>
      </c>
      <c r="M7" s="6">
        <f t="shared" si="0"/>
        <v>28</v>
      </c>
      <c r="N7" s="6">
        <f t="shared" si="0"/>
        <v>28</v>
      </c>
      <c r="O7" s="6">
        <f t="shared" si="0"/>
        <v>28</v>
      </c>
      <c r="P7" s="7">
        <f t="shared" si="0"/>
        <v>28</v>
      </c>
      <c r="Q7" s="9">
        <f>P7</f>
        <v>28</v>
      </c>
      <c r="R7" s="55"/>
      <c r="S7" s="552"/>
      <c r="T7" s="553"/>
      <c r="U7" s="55"/>
    </row>
    <row r="8" spans="2:21" ht="15" thickTop="1" thickBot="1" x14ac:dyDescent="0.2">
      <c r="B8" s="576" t="s">
        <v>25</v>
      </c>
      <c r="C8" s="577"/>
      <c r="D8" s="8">
        <v>28</v>
      </c>
      <c r="E8" s="8">
        <f t="shared" ref="E8:P8" si="1">+D8</f>
        <v>28</v>
      </c>
      <c r="F8" s="8">
        <f t="shared" si="1"/>
        <v>28</v>
      </c>
      <c r="G8" s="8">
        <f t="shared" si="1"/>
        <v>28</v>
      </c>
      <c r="H8" s="8">
        <f t="shared" si="1"/>
        <v>28</v>
      </c>
      <c r="I8" s="8">
        <f t="shared" si="1"/>
        <v>28</v>
      </c>
      <c r="J8" s="8">
        <f t="shared" si="1"/>
        <v>28</v>
      </c>
      <c r="K8" s="8">
        <f t="shared" si="1"/>
        <v>28</v>
      </c>
      <c r="L8" s="8">
        <f t="shared" si="1"/>
        <v>28</v>
      </c>
      <c r="M8" s="8">
        <f t="shared" si="1"/>
        <v>28</v>
      </c>
      <c r="N8" s="8">
        <f t="shared" si="1"/>
        <v>28</v>
      </c>
      <c r="O8" s="8">
        <f t="shared" si="1"/>
        <v>28</v>
      </c>
      <c r="P8" s="9">
        <f t="shared" si="1"/>
        <v>28</v>
      </c>
      <c r="Q8" s="115">
        <f>+SUM(D8:P8)</f>
        <v>364</v>
      </c>
      <c r="R8" s="55"/>
      <c r="S8" s="69" t="s">
        <v>1</v>
      </c>
      <c r="T8" s="70" t="s">
        <v>1</v>
      </c>
      <c r="U8" s="55"/>
    </row>
    <row r="9" spans="2:21" ht="15" thickTop="1" thickBot="1" x14ac:dyDescent="0.2">
      <c r="B9" s="570" t="s">
        <v>0</v>
      </c>
      <c r="C9" s="571"/>
      <c r="D9" s="571"/>
      <c r="E9" s="571"/>
      <c r="F9" s="571"/>
      <c r="G9" s="571"/>
      <c r="H9" s="571"/>
      <c r="I9" s="571"/>
      <c r="J9" s="571"/>
      <c r="K9" s="571"/>
      <c r="L9" s="571"/>
      <c r="M9" s="571"/>
      <c r="N9" s="571"/>
      <c r="O9" s="571"/>
      <c r="P9" s="572"/>
      <c r="Q9" s="573"/>
      <c r="R9" s="56"/>
      <c r="S9" s="552" t="s">
        <v>0</v>
      </c>
      <c r="T9" s="553"/>
      <c r="U9" s="56"/>
    </row>
    <row r="10" spans="2:21" ht="14" customHeight="1" thickTop="1" thickBot="1" x14ac:dyDescent="0.2">
      <c r="B10" s="112">
        <v>1</v>
      </c>
      <c r="C10" s="113" t="s">
        <v>27</v>
      </c>
      <c r="D10" s="114" t="s">
        <v>1</v>
      </c>
      <c r="E10" s="114" t="s">
        <v>1</v>
      </c>
      <c r="F10" s="114" t="s">
        <v>1</v>
      </c>
      <c r="G10" s="114" t="s">
        <v>1</v>
      </c>
      <c r="H10" s="114" t="s">
        <v>1</v>
      </c>
      <c r="I10" s="114" t="s">
        <v>1</v>
      </c>
      <c r="J10" s="114" t="s">
        <v>1</v>
      </c>
      <c r="K10" s="114" t="s">
        <v>1</v>
      </c>
      <c r="L10" s="114" t="s">
        <v>1</v>
      </c>
      <c r="M10" s="114" t="s">
        <v>1</v>
      </c>
      <c r="N10" s="114" t="s">
        <v>1</v>
      </c>
      <c r="O10" s="114" t="s">
        <v>1</v>
      </c>
      <c r="P10" s="11" t="s">
        <v>1</v>
      </c>
      <c r="Q10" s="12"/>
      <c r="R10" s="57"/>
      <c r="S10" s="78" t="s">
        <v>1</v>
      </c>
      <c r="T10" s="12" t="s">
        <v>1</v>
      </c>
      <c r="U10" s="57"/>
    </row>
    <row r="11" spans="2:21" ht="14" customHeight="1" thickTop="1" x14ac:dyDescent="0.15">
      <c r="B11" s="13">
        <v>1</v>
      </c>
      <c r="C11" s="14" t="s">
        <v>2</v>
      </c>
      <c r="D11" s="15">
        <v>1</v>
      </c>
      <c r="E11" s="15">
        <v>1</v>
      </c>
      <c r="F11" s="15">
        <v>1</v>
      </c>
      <c r="G11" s="15">
        <v>1</v>
      </c>
      <c r="H11" s="15">
        <v>1</v>
      </c>
      <c r="I11" s="15">
        <v>1</v>
      </c>
      <c r="J11" s="15">
        <v>1</v>
      </c>
      <c r="K11" s="15">
        <v>1</v>
      </c>
      <c r="L11" s="15">
        <v>1</v>
      </c>
      <c r="M11" s="15">
        <v>1</v>
      </c>
      <c r="N11" s="15">
        <v>1</v>
      </c>
      <c r="O11" s="15">
        <v>1</v>
      </c>
      <c r="P11" s="15">
        <v>1</v>
      </c>
      <c r="Q11" s="129">
        <f>+SUM(D11:P11)</f>
        <v>13</v>
      </c>
      <c r="R11" s="64"/>
      <c r="S11" s="133">
        <f t="shared" ref="S11:S17" si="2">SUM(D11:P11)/$Q$267</f>
        <v>5.1020408163265302E-3</v>
      </c>
      <c r="T11" s="134"/>
      <c r="U11" s="50"/>
    </row>
    <row r="12" spans="2:21" ht="14" customHeight="1" x14ac:dyDescent="0.15">
      <c r="B12" s="16">
        <v>2</v>
      </c>
      <c r="C12" s="17" t="s">
        <v>3</v>
      </c>
      <c r="D12" s="18">
        <v>1</v>
      </c>
      <c r="E12" s="18">
        <v>1</v>
      </c>
      <c r="F12" s="18">
        <v>1</v>
      </c>
      <c r="G12" s="18">
        <v>1</v>
      </c>
      <c r="H12" s="18">
        <v>1</v>
      </c>
      <c r="I12" s="18">
        <v>1</v>
      </c>
      <c r="J12" s="18">
        <v>1</v>
      </c>
      <c r="K12" s="18">
        <v>1</v>
      </c>
      <c r="L12" s="18">
        <v>1</v>
      </c>
      <c r="M12" s="18">
        <v>1</v>
      </c>
      <c r="N12" s="18">
        <v>1</v>
      </c>
      <c r="O12" s="18">
        <v>1</v>
      </c>
      <c r="P12" s="18">
        <v>1</v>
      </c>
      <c r="Q12" s="130">
        <f>+SUM(D12:P12)</f>
        <v>13</v>
      </c>
      <c r="R12" s="64"/>
      <c r="S12" s="135">
        <f t="shared" si="2"/>
        <v>5.1020408163265302E-3</v>
      </c>
      <c r="T12" s="136"/>
      <c r="U12" s="50"/>
    </row>
    <row r="13" spans="2:21" ht="14" customHeight="1" x14ac:dyDescent="0.15">
      <c r="B13" s="16">
        <v>3</v>
      </c>
      <c r="C13" s="17" t="s">
        <v>4</v>
      </c>
      <c r="D13" s="18">
        <v>1</v>
      </c>
      <c r="E13" s="18">
        <v>1</v>
      </c>
      <c r="F13" s="18">
        <v>1</v>
      </c>
      <c r="G13" s="18">
        <v>1</v>
      </c>
      <c r="H13" s="18">
        <v>1</v>
      </c>
      <c r="I13" s="18">
        <v>1</v>
      </c>
      <c r="J13" s="18">
        <v>1</v>
      </c>
      <c r="K13" s="18">
        <v>1</v>
      </c>
      <c r="L13" s="18">
        <v>1</v>
      </c>
      <c r="M13" s="18">
        <v>1</v>
      </c>
      <c r="N13" s="18">
        <v>1</v>
      </c>
      <c r="O13" s="18">
        <v>1</v>
      </c>
      <c r="P13" s="18">
        <v>1</v>
      </c>
      <c r="Q13" s="130">
        <f t="shared" ref="Q13:Q17" si="3">+SUM(D13:P13)</f>
        <v>13</v>
      </c>
      <c r="R13" s="64"/>
      <c r="S13" s="135">
        <f t="shared" si="2"/>
        <v>5.1020408163265302E-3</v>
      </c>
      <c r="T13" s="136"/>
      <c r="U13" s="50"/>
    </row>
    <row r="14" spans="2:21" ht="14" customHeight="1" x14ac:dyDescent="0.15">
      <c r="B14" s="16">
        <v>4</v>
      </c>
      <c r="C14" s="17" t="s">
        <v>5</v>
      </c>
      <c r="D14" s="18">
        <v>1</v>
      </c>
      <c r="E14" s="18">
        <v>1</v>
      </c>
      <c r="F14" s="18">
        <v>1</v>
      </c>
      <c r="G14" s="18">
        <v>1</v>
      </c>
      <c r="H14" s="18">
        <v>1</v>
      </c>
      <c r="I14" s="18">
        <v>1</v>
      </c>
      <c r="J14" s="18">
        <v>1</v>
      </c>
      <c r="K14" s="18">
        <v>1</v>
      </c>
      <c r="L14" s="18">
        <v>1</v>
      </c>
      <c r="M14" s="18">
        <v>1</v>
      </c>
      <c r="N14" s="18">
        <v>1</v>
      </c>
      <c r="O14" s="18">
        <v>1</v>
      </c>
      <c r="P14" s="18">
        <v>1</v>
      </c>
      <c r="Q14" s="130">
        <f t="shared" si="3"/>
        <v>13</v>
      </c>
      <c r="R14" s="64"/>
      <c r="S14" s="135">
        <f t="shared" si="2"/>
        <v>5.1020408163265302E-3</v>
      </c>
      <c r="T14" s="136"/>
      <c r="U14" s="50"/>
    </row>
    <row r="15" spans="2:21" ht="14" customHeight="1" x14ac:dyDescent="0.15">
      <c r="B15" s="16">
        <v>5</v>
      </c>
      <c r="C15" s="17" t="s">
        <v>6</v>
      </c>
      <c r="D15" s="18">
        <v>1</v>
      </c>
      <c r="E15" s="18">
        <v>1</v>
      </c>
      <c r="F15" s="18">
        <v>1</v>
      </c>
      <c r="G15" s="18">
        <v>1</v>
      </c>
      <c r="H15" s="18">
        <v>1</v>
      </c>
      <c r="I15" s="18">
        <v>1</v>
      </c>
      <c r="J15" s="18">
        <v>1</v>
      </c>
      <c r="K15" s="18">
        <v>1</v>
      </c>
      <c r="L15" s="18">
        <v>1</v>
      </c>
      <c r="M15" s="18">
        <v>1</v>
      </c>
      <c r="N15" s="18">
        <v>1</v>
      </c>
      <c r="O15" s="18">
        <v>1</v>
      </c>
      <c r="P15" s="18">
        <v>1</v>
      </c>
      <c r="Q15" s="130">
        <f t="shared" si="3"/>
        <v>13</v>
      </c>
      <c r="R15" s="64"/>
      <c r="S15" s="135">
        <f t="shared" si="2"/>
        <v>5.1020408163265302E-3</v>
      </c>
      <c r="T15" s="136"/>
      <c r="U15" s="50"/>
    </row>
    <row r="16" spans="2:21" ht="14" customHeight="1" x14ac:dyDescent="0.15">
      <c r="B16" s="16">
        <v>6</v>
      </c>
      <c r="C16" s="17" t="s">
        <v>7</v>
      </c>
      <c r="D16" s="18">
        <v>1</v>
      </c>
      <c r="E16" s="18">
        <v>1</v>
      </c>
      <c r="F16" s="18">
        <v>1</v>
      </c>
      <c r="G16" s="18">
        <v>1</v>
      </c>
      <c r="H16" s="18">
        <v>1</v>
      </c>
      <c r="I16" s="18">
        <v>1</v>
      </c>
      <c r="J16" s="18">
        <v>1</v>
      </c>
      <c r="K16" s="18">
        <v>1</v>
      </c>
      <c r="L16" s="18">
        <v>1</v>
      </c>
      <c r="M16" s="18">
        <v>1</v>
      </c>
      <c r="N16" s="18">
        <v>1</v>
      </c>
      <c r="O16" s="18">
        <v>1</v>
      </c>
      <c r="P16" s="18">
        <v>1</v>
      </c>
      <c r="Q16" s="130">
        <f t="shared" si="3"/>
        <v>13</v>
      </c>
      <c r="R16" s="64"/>
      <c r="S16" s="135">
        <f t="shared" si="2"/>
        <v>5.1020408163265302E-3</v>
      </c>
      <c r="T16" s="136"/>
      <c r="U16" s="50"/>
    </row>
    <row r="17" spans="2:21" ht="14" customHeight="1" x14ac:dyDescent="0.15">
      <c r="B17" s="16">
        <v>7</v>
      </c>
      <c r="C17" s="17" t="s">
        <v>8</v>
      </c>
      <c r="D17" s="18">
        <v>1</v>
      </c>
      <c r="E17" s="18">
        <v>1</v>
      </c>
      <c r="F17" s="18">
        <v>1</v>
      </c>
      <c r="G17" s="18">
        <v>1</v>
      </c>
      <c r="H17" s="18">
        <v>1</v>
      </c>
      <c r="I17" s="18">
        <v>1</v>
      </c>
      <c r="J17" s="18">
        <v>1</v>
      </c>
      <c r="K17" s="18">
        <v>1</v>
      </c>
      <c r="L17" s="18">
        <v>1</v>
      </c>
      <c r="M17" s="18">
        <v>1</v>
      </c>
      <c r="N17" s="18">
        <v>1</v>
      </c>
      <c r="O17" s="18">
        <v>1</v>
      </c>
      <c r="P17" s="18">
        <v>1</v>
      </c>
      <c r="Q17" s="130">
        <f t="shared" si="3"/>
        <v>13</v>
      </c>
      <c r="R17" s="64"/>
      <c r="S17" s="135">
        <f t="shared" si="2"/>
        <v>5.1020408163265302E-3</v>
      </c>
      <c r="T17" s="136"/>
      <c r="U17" s="50"/>
    </row>
    <row r="18" spans="2:21" ht="14" customHeight="1" thickBot="1" x14ac:dyDescent="0.2">
      <c r="B18" s="19"/>
      <c r="C18" s="20" t="s">
        <v>9</v>
      </c>
      <c r="D18" s="21">
        <f t="shared" ref="D18:P18" si="4">+D11+D12+D13+D14+D15+D16+D17</f>
        <v>7</v>
      </c>
      <c r="E18" s="21">
        <f t="shared" si="4"/>
        <v>7</v>
      </c>
      <c r="F18" s="21">
        <f t="shared" si="4"/>
        <v>7</v>
      </c>
      <c r="G18" s="21">
        <f t="shared" si="4"/>
        <v>7</v>
      </c>
      <c r="H18" s="22">
        <f t="shared" si="4"/>
        <v>7</v>
      </c>
      <c r="I18" s="21">
        <f t="shared" si="4"/>
        <v>7</v>
      </c>
      <c r="J18" s="21">
        <f t="shared" si="4"/>
        <v>7</v>
      </c>
      <c r="K18" s="21">
        <f t="shared" si="4"/>
        <v>7</v>
      </c>
      <c r="L18" s="21">
        <f t="shared" si="4"/>
        <v>7</v>
      </c>
      <c r="M18" s="21">
        <f t="shared" si="4"/>
        <v>7</v>
      </c>
      <c r="N18" s="21">
        <f t="shared" si="4"/>
        <v>7</v>
      </c>
      <c r="O18" s="21">
        <f t="shared" si="4"/>
        <v>7</v>
      </c>
      <c r="P18" s="21">
        <f t="shared" si="4"/>
        <v>7</v>
      </c>
      <c r="Q18" s="116">
        <f>+SUM(D18:P18)</f>
        <v>91</v>
      </c>
      <c r="R18" s="65"/>
      <c r="S18" s="137" t="s">
        <v>1</v>
      </c>
      <c r="T18" s="138">
        <f>SUM(S11:S17)</f>
        <v>3.5714285714285712E-2</v>
      </c>
      <c r="U18" s="51"/>
    </row>
    <row r="19" spans="2:21" ht="14" customHeight="1" thickTop="1" thickBot="1" x14ac:dyDescent="0.2">
      <c r="B19" s="23" t="s">
        <v>1</v>
      </c>
      <c r="C19" s="24" t="s">
        <v>28</v>
      </c>
      <c r="D19" s="25" t="s">
        <v>1</v>
      </c>
      <c r="E19" s="25" t="s">
        <v>1</v>
      </c>
      <c r="F19" s="25" t="s">
        <v>1</v>
      </c>
      <c r="G19" s="25" t="s">
        <v>1</v>
      </c>
      <c r="H19" s="25" t="s">
        <v>1</v>
      </c>
      <c r="I19" s="25" t="s">
        <v>1</v>
      </c>
      <c r="J19" s="25" t="s">
        <v>1</v>
      </c>
      <c r="K19" s="25" t="s">
        <v>1</v>
      </c>
      <c r="L19" s="25" t="s">
        <v>1</v>
      </c>
      <c r="M19" s="25" t="s">
        <v>1</v>
      </c>
      <c r="N19" s="25" t="s">
        <v>1</v>
      </c>
      <c r="O19" s="25" t="s">
        <v>1</v>
      </c>
      <c r="P19" s="25" t="s">
        <v>1</v>
      </c>
      <c r="Q19" s="26" t="s">
        <v>1</v>
      </c>
      <c r="R19" s="57"/>
      <c r="S19" s="23" t="s">
        <v>1</v>
      </c>
      <c r="T19" s="26" t="s">
        <v>1</v>
      </c>
      <c r="U19" s="57"/>
    </row>
    <row r="20" spans="2:21" ht="14" customHeight="1" thickTop="1" thickBot="1" x14ac:dyDescent="0.2">
      <c r="B20" s="27">
        <v>1</v>
      </c>
      <c r="C20" s="14" t="str">
        <f t="shared" ref="C20:C26" si="5">C11</f>
        <v>6 h à 9 h 30</v>
      </c>
      <c r="D20" s="15">
        <v>1</v>
      </c>
      <c r="E20" s="15">
        <v>1</v>
      </c>
      <c r="F20" s="15">
        <v>1</v>
      </c>
      <c r="G20" s="15">
        <v>1</v>
      </c>
      <c r="H20" s="15">
        <v>1</v>
      </c>
      <c r="I20" s="15">
        <v>1</v>
      </c>
      <c r="J20" s="15">
        <v>1</v>
      </c>
      <c r="K20" s="15">
        <v>1</v>
      </c>
      <c r="L20" s="15">
        <v>1</v>
      </c>
      <c r="M20" s="15">
        <v>1</v>
      </c>
      <c r="N20" s="15">
        <v>1</v>
      </c>
      <c r="O20" s="15">
        <v>1</v>
      </c>
      <c r="P20" s="15">
        <v>1</v>
      </c>
      <c r="Q20" s="129">
        <f>+SUM(D20:P20)</f>
        <v>13</v>
      </c>
      <c r="R20" s="64"/>
      <c r="S20" s="133">
        <f t="shared" ref="S20:S26" si="6">SUM(D20:P20)/$Q$267</f>
        <v>5.1020408163265302E-3</v>
      </c>
      <c r="T20" s="139"/>
      <c r="U20" s="50"/>
    </row>
    <row r="21" spans="2:21" ht="14" customHeight="1" thickTop="1" thickBot="1" x14ac:dyDescent="0.2">
      <c r="B21" s="28">
        <v>2</v>
      </c>
      <c r="C21" s="17" t="str">
        <f t="shared" si="5"/>
        <v>9 h 30 à 11 h 30</v>
      </c>
      <c r="D21" s="18">
        <v>1</v>
      </c>
      <c r="E21" s="18">
        <v>1</v>
      </c>
      <c r="F21" s="18">
        <v>1</v>
      </c>
      <c r="G21" s="18">
        <v>1</v>
      </c>
      <c r="H21" s="18">
        <v>1</v>
      </c>
      <c r="I21" s="18">
        <v>1</v>
      </c>
      <c r="J21" s="18">
        <v>1</v>
      </c>
      <c r="K21" s="18">
        <v>1</v>
      </c>
      <c r="L21" s="18">
        <v>1</v>
      </c>
      <c r="M21" s="18">
        <v>1</v>
      </c>
      <c r="N21" s="18">
        <v>1</v>
      </c>
      <c r="O21" s="18">
        <v>1</v>
      </c>
      <c r="P21" s="18">
        <v>1</v>
      </c>
      <c r="Q21" s="130">
        <f>+SUM(D21:P21)</f>
        <v>13</v>
      </c>
      <c r="R21" s="64"/>
      <c r="S21" s="135">
        <f t="shared" si="6"/>
        <v>5.1020408163265302E-3</v>
      </c>
      <c r="T21" s="140"/>
      <c r="U21" s="50"/>
    </row>
    <row r="22" spans="2:21" ht="14" customHeight="1" thickTop="1" thickBot="1" x14ac:dyDescent="0.2">
      <c r="B22" s="28">
        <v>3</v>
      </c>
      <c r="C22" s="17" t="str">
        <f t="shared" si="5"/>
        <v>11 h 30 à 14 h 30</v>
      </c>
      <c r="D22" s="18">
        <v>1</v>
      </c>
      <c r="E22" s="18">
        <v>1</v>
      </c>
      <c r="F22" s="18">
        <v>1</v>
      </c>
      <c r="G22" s="18">
        <v>1</v>
      </c>
      <c r="H22" s="18">
        <v>1</v>
      </c>
      <c r="I22" s="18">
        <v>1</v>
      </c>
      <c r="J22" s="18">
        <v>1</v>
      </c>
      <c r="K22" s="18">
        <v>1</v>
      </c>
      <c r="L22" s="18">
        <v>1</v>
      </c>
      <c r="M22" s="18">
        <v>1</v>
      </c>
      <c r="N22" s="18">
        <v>1</v>
      </c>
      <c r="O22" s="18">
        <v>1</v>
      </c>
      <c r="P22" s="18">
        <v>1</v>
      </c>
      <c r="Q22" s="130">
        <f t="shared" ref="Q22:Q26" si="7">+SUM(D22:P22)</f>
        <v>13</v>
      </c>
      <c r="R22" s="64"/>
      <c r="S22" s="135">
        <f t="shared" si="6"/>
        <v>5.1020408163265302E-3</v>
      </c>
      <c r="T22" s="140"/>
      <c r="U22" s="50"/>
    </row>
    <row r="23" spans="2:21" ht="14" customHeight="1" thickTop="1" thickBot="1" x14ac:dyDescent="0.2">
      <c r="B23" s="28">
        <v>4</v>
      </c>
      <c r="C23" s="17" t="str">
        <f t="shared" si="5"/>
        <v>14 h 30 à 17 h</v>
      </c>
      <c r="D23" s="18">
        <v>1</v>
      </c>
      <c r="E23" s="18">
        <v>1</v>
      </c>
      <c r="F23" s="18">
        <v>1</v>
      </c>
      <c r="G23" s="18">
        <v>1</v>
      </c>
      <c r="H23" s="18">
        <v>1</v>
      </c>
      <c r="I23" s="18">
        <v>1</v>
      </c>
      <c r="J23" s="18">
        <v>1</v>
      </c>
      <c r="K23" s="18">
        <v>1</v>
      </c>
      <c r="L23" s="18">
        <v>1</v>
      </c>
      <c r="M23" s="18">
        <v>1</v>
      </c>
      <c r="N23" s="18">
        <v>1</v>
      </c>
      <c r="O23" s="18">
        <v>1</v>
      </c>
      <c r="P23" s="18">
        <v>1</v>
      </c>
      <c r="Q23" s="130">
        <f t="shared" si="7"/>
        <v>13</v>
      </c>
      <c r="R23" s="64"/>
      <c r="S23" s="135">
        <f t="shared" si="6"/>
        <v>5.1020408163265302E-3</v>
      </c>
      <c r="T23" s="140"/>
      <c r="U23" s="50"/>
    </row>
    <row r="24" spans="2:21" ht="14" customHeight="1" thickTop="1" thickBot="1" x14ac:dyDescent="0.2">
      <c r="B24" s="28">
        <v>5</v>
      </c>
      <c r="C24" s="17" t="str">
        <f t="shared" si="5"/>
        <v>17 h à 19 h</v>
      </c>
      <c r="D24" s="18">
        <v>1</v>
      </c>
      <c r="E24" s="18">
        <v>1</v>
      </c>
      <c r="F24" s="18">
        <v>1</v>
      </c>
      <c r="G24" s="18">
        <v>1</v>
      </c>
      <c r="H24" s="18">
        <v>1</v>
      </c>
      <c r="I24" s="18">
        <v>1</v>
      </c>
      <c r="J24" s="18">
        <v>1</v>
      </c>
      <c r="K24" s="18">
        <v>1</v>
      </c>
      <c r="L24" s="18">
        <v>1</v>
      </c>
      <c r="M24" s="18">
        <v>1</v>
      </c>
      <c r="N24" s="18">
        <v>1</v>
      </c>
      <c r="O24" s="18">
        <v>1</v>
      </c>
      <c r="P24" s="18">
        <v>1</v>
      </c>
      <c r="Q24" s="130">
        <f t="shared" si="7"/>
        <v>13</v>
      </c>
      <c r="R24" s="64"/>
      <c r="S24" s="135">
        <f t="shared" si="6"/>
        <v>5.1020408163265302E-3</v>
      </c>
      <c r="T24" s="140"/>
      <c r="U24" s="50"/>
    </row>
    <row r="25" spans="2:21" ht="14" customHeight="1" thickTop="1" thickBot="1" x14ac:dyDescent="0.2">
      <c r="B25" s="28">
        <v>6</v>
      </c>
      <c r="C25" s="17" t="str">
        <f t="shared" si="5"/>
        <v>19 h à 23 h</v>
      </c>
      <c r="D25" s="18">
        <v>1</v>
      </c>
      <c r="E25" s="18">
        <v>1</v>
      </c>
      <c r="F25" s="18">
        <v>1</v>
      </c>
      <c r="G25" s="18">
        <v>1</v>
      </c>
      <c r="H25" s="18">
        <v>1</v>
      </c>
      <c r="I25" s="18">
        <v>1</v>
      </c>
      <c r="J25" s="18">
        <v>1</v>
      </c>
      <c r="K25" s="18">
        <v>1</v>
      </c>
      <c r="L25" s="18">
        <v>1</v>
      </c>
      <c r="M25" s="18">
        <v>1</v>
      </c>
      <c r="N25" s="18">
        <v>1</v>
      </c>
      <c r="O25" s="18">
        <v>1</v>
      </c>
      <c r="P25" s="18">
        <v>1</v>
      </c>
      <c r="Q25" s="130">
        <f t="shared" si="7"/>
        <v>13</v>
      </c>
      <c r="R25" s="64"/>
      <c r="S25" s="135">
        <f t="shared" si="6"/>
        <v>5.1020408163265302E-3</v>
      </c>
      <c r="T25" s="140"/>
      <c r="U25" s="50"/>
    </row>
    <row r="26" spans="2:21" ht="14" customHeight="1" thickTop="1" thickBot="1" x14ac:dyDescent="0.2">
      <c r="B26" s="28">
        <v>7</v>
      </c>
      <c r="C26" s="17" t="str">
        <f t="shared" si="5"/>
        <v>23 h à 6 h</v>
      </c>
      <c r="D26" s="18">
        <v>1</v>
      </c>
      <c r="E26" s="18">
        <v>1</v>
      </c>
      <c r="F26" s="18">
        <v>1</v>
      </c>
      <c r="G26" s="18">
        <v>1</v>
      </c>
      <c r="H26" s="18">
        <v>1</v>
      </c>
      <c r="I26" s="18">
        <v>1</v>
      </c>
      <c r="J26" s="18">
        <v>1</v>
      </c>
      <c r="K26" s="18">
        <v>1</v>
      </c>
      <c r="L26" s="18">
        <v>1</v>
      </c>
      <c r="M26" s="18">
        <v>1</v>
      </c>
      <c r="N26" s="18">
        <v>1</v>
      </c>
      <c r="O26" s="18">
        <v>1</v>
      </c>
      <c r="P26" s="18">
        <v>1</v>
      </c>
      <c r="Q26" s="130">
        <f t="shared" si="7"/>
        <v>13</v>
      </c>
      <c r="R26" s="64"/>
      <c r="S26" s="135">
        <f t="shared" si="6"/>
        <v>5.1020408163265302E-3</v>
      </c>
      <c r="T26" s="140"/>
      <c r="U26" s="50"/>
    </row>
    <row r="27" spans="2:21" ht="14" customHeight="1" thickTop="1" thickBot="1" x14ac:dyDescent="0.2">
      <c r="B27" s="29"/>
      <c r="C27" s="30" t="str">
        <f t="shared" ref="C27" si="8">+C18</f>
        <v>Total</v>
      </c>
      <c r="D27" s="31">
        <f t="shared" ref="D27:P27" si="9">+D20+D21+D22+D23+D24+D25+D26</f>
        <v>7</v>
      </c>
      <c r="E27" s="31">
        <f t="shared" si="9"/>
        <v>7</v>
      </c>
      <c r="F27" s="31">
        <f t="shared" si="9"/>
        <v>7</v>
      </c>
      <c r="G27" s="31">
        <f t="shared" si="9"/>
        <v>7</v>
      </c>
      <c r="H27" s="32">
        <f t="shared" si="9"/>
        <v>7</v>
      </c>
      <c r="I27" s="31">
        <f t="shared" si="9"/>
        <v>7</v>
      </c>
      <c r="J27" s="31">
        <f t="shared" si="9"/>
        <v>7</v>
      </c>
      <c r="K27" s="32">
        <f t="shared" si="9"/>
        <v>7</v>
      </c>
      <c r="L27" s="32">
        <f>+L20+L21+L22+L23+L24+L25+L26</f>
        <v>7</v>
      </c>
      <c r="M27" s="31">
        <f t="shared" si="9"/>
        <v>7</v>
      </c>
      <c r="N27" s="31">
        <f t="shared" si="9"/>
        <v>7</v>
      </c>
      <c r="O27" s="31">
        <f t="shared" si="9"/>
        <v>7</v>
      </c>
      <c r="P27" s="31">
        <f t="shared" si="9"/>
        <v>7</v>
      </c>
      <c r="Q27" s="116">
        <f>+SUM(D27:P27)</f>
        <v>91</v>
      </c>
      <c r="R27" s="66"/>
      <c r="S27" s="137" t="s">
        <v>1</v>
      </c>
      <c r="T27" s="138">
        <f t="shared" ref="T27:T82" si="10">SUM(S20:S26)</f>
        <v>3.5714285714285712E-2</v>
      </c>
      <c r="U27" s="52"/>
    </row>
    <row r="28" spans="2:21" ht="14" customHeight="1" thickTop="1" thickBot="1" x14ac:dyDescent="0.2">
      <c r="B28" s="23" t="s">
        <v>1</v>
      </c>
      <c r="C28" s="24" t="s">
        <v>29</v>
      </c>
      <c r="D28" s="25" t="s">
        <v>1</v>
      </c>
      <c r="E28" s="25" t="s">
        <v>1</v>
      </c>
      <c r="F28" s="25" t="s">
        <v>1</v>
      </c>
      <c r="G28" s="25" t="s">
        <v>1</v>
      </c>
      <c r="H28" s="25" t="s">
        <v>1</v>
      </c>
      <c r="I28" s="25" t="s">
        <v>1</v>
      </c>
      <c r="J28" s="25" t="s">
        <v>1</v>
      </c>
      <c r="K28" s="25" t="s">
        <v>1</v>
      </c>
      <c r="L28" s="25" t="s">
        <v>1</v>
      </c>
      <c r="M28" s="25" t="s">
        <v>1</v>
      </c>
      <c r="N28" s="25" t="s">
        <v>1</v>
      </c>
      <c r="O28" s="25" t="s">
        <v>1</v>
      </c>
      <c r="P28" s="120" t="s">
        <v>1</v>
      </c>
      <c r="Q28" s="121" t="s">
        <v>1</v>
      </c>
      <c r="R28" s="57"/>
      <c r="S28" s="23" t="s">
        <v>1</v>
      </c>
      <c r="T28" s="26" t="s">
        <v>1</v>
      </c>
      <c r="U28" s="57"/>
    </row>
    <row r="29" spans="2:21" ht="14" customHeight="1" thickTop="1" thickBot="1" x14ac:dyDescent="0.2">
      <c r="B29" s="27">
        <v>1</v>
      </c>
      <c r="C29" s="14" t="str">
        <f t="shared" ref="C29:C35" si="11">C20</f>
        <v>6 h à 9 h 30</v>
      </c>
      <c r="D29" s="15">
        <v>1</v>
      </c>
      <c r="E29" s="15">
        <v>1</v>
      </c>
      <c r="F29" s="15">
        <v>1</v>
      </c>
      <c r="G29" s="15">
        <v>1</v>
      </c>
      <c r="H29" s="15">
        <v>1</v>
      </c>
      <c r="I29" s="15">
        <v>1</v>
      </c>
      <c r="J29" s="15">
        <v>1</v>
      </c>
      <c r="K29" s="15">
        <v>1</v>
      </c>
      <c r="L29" s="15">
        <v>1</v>
      </c>
      <c r="M29" s="15">
        <v>1</v>
      </c>
      <c r="N29" s="15">
        <v>1</v>
      </c>
      <c r="O29" s="15">
        <v>1</v>
      </c>
      <c r="P29" s="15">
        <v>1</v>
      </c>
      <c r="Q29" s="129">
        <f>+SUM(D29:P29)</f>
        <v>13</v>
      </c>
      <c r="R29" s="64"/>
      <c r="S29" s="133">
        <f t="shared" ref="S29:S35" si="12">SUM(D29:P29)/$Q$267</f>
        <v>5.1020408163265302E-3</v>
      </c>
      <c r="T29" s="139"/>
      <c r="U29" s="50"/>
    </row>
    <row r="30" spans="2:21" ht="14" customHeight="1" thickTop="1" thickBot="1" x14ac:dyDescent="0.2">
      <c r="B30" s="28">
        <v>2</v>
      </c>
      <c r="C30" s="17" t="str">
        <f t="shared" si="11"/>
        <v>9 h 30 à 11 h 30</v>
      </c>
      <c r="D30" s="18">
        <v>1</v>
      </c>
      <c r="E30" s="18">
        <v>1</v>
      </c>
      <c r="F30" s="18">
        <v>1</v>
      </c>
      <c r="G30" s="18">
        <v>1</v>
      </c>
      <c r="H30" s="18">
        <v>1</v>
      </c>
      <c r="I30" s="18">
        <v>1</v>
      </c>
      <c r="J30" s="18">
        <v>1</v>
      </c>
      <c r="K30" s="18">
        <v>1</v>
      </c>
      <c r="L30" s="18">
        <v>1</v>
      </c>
      <c r="M30" s="18">
        <v>1</v>
      </c>
      <c r="N30" s="18">
        <v>1</v>
      </c>
      <c r="O30" s="18">
        <v>1</v>
      </c>
      <c r="P30" s="18">
        <v>1</v>
      </c>
      <c r="Q30" s="130">
        <f>+SUM(D30:P30)</f>
        <v>13</v>
      </c>
      <c r="R30" s="64"/>
      <c r="S30" s="135">
        <f t="shared" si="12"/>
        <v>5.1020408163265302E-3</v>
      </c>
      <c r="T30" s="140"/>
      <c r="U30" s="50"/>
    </row>
    <row r="31" spans="2:21" ht="14" customHeight="1" thickTop="1" thickBot="1" x14ac:dyDescent="0.2">
      <c r="B31" s="28">
        <v>3</v>
      </c>
      <c r="C31" s="17" t="str">
        <f t="shared" si="11"/>
        <v>11 h 30 à 14 h 30</v>
      </c>
      <c r="D31" s="18">
        <v>1</v>
      </c>
      <c r="E31" s="18">
        <v>1</v>
      </c>
      <c r="F31" s="18">
        <v>1</v>
      </c>
      <c r="G31" s="18">
        <v>1</v>
      </c>
      <c r="H31" s="18">
        <v>1</v>
      </c>
      <c r="I31" s="18">
        <v>1</v>
      </c>
      <c r="J31" s="18">
        <v>1</v>
      </c>
      <c r="K31" s="18">
        <v>1</v>
      </c>
      <c r="L31" s="18">
        <v>1</v>
      </c>
      <c r="M31" s="18">
        <v>1</v>
      </c>
      <c r="N31" s="18">
        <v>1</v>
      </c>
      <c r="O31" s="18">
        <v>1</v>
      </c>
      <c r="P31" s="18">
        <v>1</v>
      </c>
      <c r="Q31" s="130">
        <f t="shared" ref="Q31:Q35" si="13">+SUM(D31:P31)</f>
        <v>13</v>
      </c>
      <c r="R31" s="64"/>
      <c r="S31" s="135">
        <f t="shared" si="12"/>
        <v>5.1020408163265302E-3</v>
      </c>
      <c r="T31" s="140"/>
      <c r="U31" s="50"/>
    </row>
    <row r="32" spans="2:21" ht="14" customHeight="1" thickTop="1" thickBot="1" x14ac:dyDescent="0.2">
      <c r="B32" s="28">
        <v>4</v>
      </c>
      <c r="C32" s="17" t="str">
        <f t="shared" si="11"/>
        <v>14 h 30 à 17 h</v>
      </c>
      <c r="D32" s="18">
        <v>1</v>
      </c>
      <c r="E32" s="18">
        <v>1</v>
      </c>
      <c r="F32" s="18">
        <v>1</v>
      </c>
      <c r="G32" s="18">
        <v>1</v>
      </c>
      <c r="H32" s="18">
        <v>1</v>
      </c>
      <c r="I32" s="18">
        <v>1</v>
      </c>
      <c r="J32" s="18">
        <v>1</v>
      </c>
      <c r="K32" s="18">
        <v>1</v>
      </c>
      <c r="L32" s="18">
        <v>1</v>
      </c>
      <c r="M32" s="18">
        <v>1</v>
      </c>
      <c r="N32" s="18">
        <v>1</v>
      </c>
      <c r="O32" s="18">
        <v>1</v>
      </c>
      <c r="P32" s="18">
        <v>1</v>
      </c>
      <c r="Q32" s="130">
        <f t="shared" si="13"/>
        <v>13</v>
      </c>
      <c r="R32" s="64"/>
      <c r="S32" s="135">
        <f t="shared" si="12"/>
        <v>5.1020408163265302E-3</v>
      </c>
      <c r="T32" s="140"/>
      <c r="U32" s="50"/>
    </row>
    <row r="33" spans="2:21" ht="14" customHeight="1" thickTop="1" thickBot="1" x14ac:dyDescent="0.2">
      <c r="B33" s="28">
        <v>5</v>
      </c>
      <c r="C33" s="17" t="str">
        <f t="shared" si="11"/>
        <v>17 h à 19 h</v>
      </c>
      <c r="D33" s="18">
        <v>1</v>
      </c>
      <c r="E33" s="18">
        <v>1</v>
      </c>
      <c r="F33" s="18">
        <v>1</v>
      </c>
      <c r="G33" s="18">
        <v>1</v>
      </c>
      <c r="H33" s="18">
        <v>1</v>
      </c>
      <c r="I33" s="18">
        <v>1</v>
      </c>
      <c r="J33" s="18">
        <v>1</v>
      </c>
      <c r="K33" s="18">
        <v>1</v>
      </c>
      <c r="L33" s="18">
        <v>1</v>
      </c>
      <c r="M33" s="18">
        <v>1</v>
      </c>
      <c r="N33" s="18">
        <v>1</v>
      </c>
      <c r="O33" s="18">
        <v>1</v>
      </c>
      <c r="P33" s="18">
        <v>1</v>
      </c>
      <c r="Q33" s="130">
        <f t="shared" si="13"/>
        <v>13</v>
      </c>
      <c r="R33" s="64"/>
      <c r="S33" s="135">
        <f t="shared" si="12"/>
        <v>5.1020408163265302E-3</v>
      </c>
      <c r="T33" s="140"/>
      <c r="U33" s="50"/>
    </row>
    <row r="34" spans="2:21" ht="14" customHeight="1" thickTop="1" thickBot="1" x14ac:dyDescent="0.2">
      <c r="B34" s="28">
        <v>6</v>
      </c>
      <c r="C34" s="17" t="str">
        <f t="shared" si="11"/>
        <v>19 h à 23 h</v>
      </c>
      <c r="D34" s="18">
        <v>1</v>
      </c>
      <c r="E34" s="18">
        <v>1</v>
      </c>
      <c r="F34" s="18">
        <v>1</v>
      </c>
      <c r="G34" s="18">
        <v>1</v>
      </c>
      <c r="H34" s="18">
        <v>1</v>
      </c>
      <c r="I34" s="18">
        <v>1</v>
      </c>
      <c r="J34" s="18">
        <v>1</v>
      </c>
      <c r="K34" s="18">
        <v>1</v>
      </c>
      <c r="L34" s="18">
        <v>1</v>
      </c>
      <c r="M34" s="18">
        <v>1</v>
      </c>
      <c r="N34" s="18">
        <v>1</v>
      </c>
      <c r="O34" s="18">
        <v>1</v>
      </c>
      <c r="P34" s="18">
        <v>1</v>
      </c>
      <c r="Q34" s="130">
        <f t="shared" si="13"/>
        <v>13</v>
      </c>
      <c r="R34" s="64"/>
      <c r="S34" s="135">
        <f t="shared" si="12"/>
        <v>5.1020408163265302E-3</v>
      </c>
      <c r="T34" s="140"/>
      <c r="U34" s="50"/>
    </row>
    <row r="35" spans="2:21" ht="14" customHeight="1" thickTop="1" thickBot="1" x14ac:dyDescent="0.2">
      <c r="B35" s="28">
        <v>7</v>
      </c>
      <c r="C35" s="17" t="str">
        <f t="shared" si="11"/>
        <v>23 h à 6 h</v>
      </c>
      <c r="D35" s="18">
        <v>1</v>
      </c>
      <c r="E35" s="18">
        <v>1</v>
      </c>
      <c r="F35" s="18">
        <v>1</v>
      </c>
      <c r="G35" s="18">
        <v>1</v>
      </c>
      <c r="H35" s="18">
        <v>1</v>
      </c>
      <c r="I35" s="18">
        <v>1</v>
      </c>
      <c r="J35" s="18">
        <v>1</v>
      </c>
      <c r="K35" s="18">
        <v>1</v>
      </c>
      <c r="L35" s="18">
        <v>1</v>
      </c>
      <c r="M35" s="18">
        <v>1</v>
      </c>
      <c r="N35" s="18">
        <v>1</v>
      </c>
      <c r="O35" s="18">
        <v>1</v>
      </c>
      <c r="P35" s="18">
        <v>1</v>
      </c>
      <c r="Q35" s="130">
        <f t="shared" si="13"/>
        <v>13</v>
      </c>
      <c r="R35" s="64"/>
      <c r="S35" s="135">
        <f t="shared" si="12"/>
        <v>5.1020408163265302E-3</v>
      </c>
      <c r="T35" s="140"/>
      <c r="U35" s="50"/>
    </row>
    <row r="36" spans="2:21" ht="14" customHeight="1" thickTop="1" thickBot="1" x14ac:dyDescent="0.2">
      <c r="B36" s="29"/>
      <c r="C36" s="30" t="str">
        <f t="shared" ref="C36" si="14">+C18</f>
        <v>Total</v>
      </c>
      <c r="D36" s="32">
        <f t="shared" ref="D36:P36" si="15">+D29+D30+D31+D32+D33+D34+D35</f>
        <v>7</v>
      </c>
      <c r="E36" s="32">
        <f t="shared" si="15"/>
        <v>7</v>
      </c>
      <c r="F36" s="32">
        <f t="shared" si="15"/>
        <v>7</v>
      </c>
      <c r="G36" s="31">
        <f t="shared" si="15"/>
        <v>7</v>
      </c>
      <c r="H36" s="32">
        <f t="shared" si="15"/>
        <v>7</v>
      </c>
      <c r="I36" s="31">
        <f t="shared" si="15"/>
        <v>7</v>
      </c>
      <c r="J36" s="31">
        <f t="shared" si="15"/>
        <v>7</v>
      </c>
      <c r="K36" s="32">
        <f t="shared" si="15"/>
        <v>7</v>
      </c>
      <c r="L36" s="31">
        <f t="shared" si="15"/>
        <v>7</v>
      </c>
      <c r="M36" s="31">
        <f t="shared" si="15"/>
        <v>7</v>
      </c>
      <c r="N36" s="32">
        <f t="shared" si="15"/>
        <v>7</v>
      </c>
      <c r="O36" s="31">
        <f t="shared" si="15"/>
        <v>7</v>
      </c>
      <c r="P36" s="31">
        <f t="shared" si="15"/>
        <v>7</v>
      </c>
      <c r="Q36" s="116">
        <f>+SUM(D36:P36)</f>
        <v>91</v>
      </c>
      <c r="R36" s="66"/>
      <c r="S36" s="137" t="s">
        <v>1</v>
      </c>
      <c r="T36" s="138">
        <f t="shared" si="10"/>
        <v>3.5714285714285712E-2</v>
      </c>
      <c r="U36" s="52"/>
    </row>
    <row r="37" spans="2:21" ht="14" customHeight="1" thickTop="1" thickBot="1" x14ac:dyDescent="0.2">
      <c r="B37" s="33" t="s">
        <v>1</v>
      </c>
      <c r="C37" s="34" t="s">
        <v>30</v>
      </c>
      <c r="D37" s="35" t="s">
        <v>1</v>
      </c>
      <c r="E37" s="25" t="s">
        <v>1</v>
      </c>
      <c r="F37" s="25" t="s">
        <v>1</v>
      </c>
      <c r="G37" s="25" t="s">
        <v>1</v>
      </c>
      <c r="H37" s="25" t="s">
        <v>1</v>
      </c>
      <c r="I37" s="25" t="s">
        <v>1</v>
      </c>
      <c r="J37" s="25" t="s">
        <v>1</v>
      </c>
      <c r="K37" s="25" t="s">
        <v>1</v>
      </c>
      <c r="L37" s="25" t="s">
        <v>1</v>
      </c>
      <c r="M37" s="25" t="s">
        <v>1</v>
      </c>
      <c r="N37" s="25" t="s">
        <v>1</v>
      </c>
      <c r="O37" s="25" t="s">
        <v>1</v>
      </c>
      <c r="P37" s="120" t="s">
        <v>1</v>
      </c>
      <c r="Q37" s="121" t="s">
        <v>1</v>
      </c>
      <c r="R37" s="57"/>
      <c r="S37" s="23" t="s">
        <v>1</v>
      </c>
      <c r="T37" s="26" t="s">
        <v>1</v>
      </c>
      <c r="U37" s="57"/>
    </row>
    <row r="38" spans="2:21" ht="14" customHeight="1" thickTop="1" thickBot="1" x14ac:dyDescent="0.2">
      <c r="B38" s="27">
        <v>1</v>
      </c>
      <c r="C38" s="14" t="str">
        <f t="shared" ref="C38:C44" si="16">C29</f>
        <v>6 h à 9 h 30</v>
      </c>
      <c r="D38" s="15">
        <v>1</v>
      </c>
      <c r="E38" s="15">
        <v>1</v>
      </c>
      <c r="F38" s="15">
        <v>1</v>
      </c>
      <c r="G38" s="15">
        <v>1</v>
      </c>
      <c r="H38" s="15">
        <v>1</v>
      </c>
      <c r="I38" s="15">
        <v>1</v>
      </c>
      <c r="J38" s="15">
        <v>1</v>
      </c>
      <c r="K38" s="15">
        <v>1</v>
      </c>
      <c r="L38" s="15">
        <v>1</v>
      </c>
      <c r="M38" s="15">
        <v>1</v>
      </c>
      <c r="N38" s="15">
        <v>1</v>
      </c>
      <c r="O38" s="15">
        <v>1</v>
      </c>
      <c r="P38" s="117">
        <v>1</v>
      </c>
      <c r="Q38" s="129">
        <f>+SUM(D38:P38)</f>
        <v>13</v>
      </c>
      <c r="R38" s="64"/>
      <c r="S38" s="133">
        <f t="shared" ref="S38:S44" si="17">SUM(D38:P38)/$Q$267</f>
        <v>5.1020408163265302E-3</v>
      </c>
      <c r="T38" s="139"/>
      <c r="U38" s="50"/>
    </row>
    <row r="39" spans="2:21" ht="14" customHeight="1" thickTop="1" thickBot="1" x14ac:dyDescent="0.2">
      <c r="B39" s="28">
        <v>2</v>
      </c>
      <c r="C39" s="17" t="str">
        <f t="shared" si="16"/>
        <v>9 h 30 à 11 h 30</v>
      </c>
      <c r="D39" s="18">
        <v>1</v>
      </c>
      <c r="E39" s="18">
        <v>1</v>
      </c>
      <c r="F39" s="18">
        <v>1</v>
      </c>
      <c r="G39" s="18">
        <v>1</v>
      </c>
      <c r="H39" s="18">
        <v>1</v>
      </c>
      <c r="I39" s="18">
        <v>1</v>
      </c>
      <c r="J39" s="18">
        <v>1</v>
      </c>
      <c r="K39" s="18">
        <v>1</v>
      </c>
      <c r="L39" s="18">
        <v>1</v>
      </c>
      <c r="M39" s="18">
        <v>1</v>
      </c>
      <c r="N39" s="18">
        <v>1</v>
      </c>
      <c r="O39" s="18">
        <v>1</v>
      </c>
      <c r="P39" s="118">
        <v>1</v>
      </c>
      <c r="Q39" s="130">
        <f>+SUM(D39:P39)</f>
        <v>13</v>
      </c>
      <c r="R39" s="64"/>
      <c r="S39" s="135">
        <f t="shared" si="17"/>
        <v>5.1020408163265302E-3</v>
      </c>
      <c r="T39" s="140"/>
      <c r="U39" s="50"/>
    </row>
    <row r="40" spans="2:21" ht="14" customHeight="1" thickTop="1" thickBot="1" x14ac:dyDescent="0.2">
      <c r="B40" s="28">
        <v>3</v>
      </c>
      <c r="C40" s="17" t="str">
        <f t="shared" si="16"/>
        <v>11 h 30 à 14 h 30</v>
      </c>
      <c r="D40" s="18">
        <v>1</v>
      </c>
      <c r="E40" s="18">
        <v>1</v>
      </c>
      <c r="F40" s="18">
        <v>1</v>
      </c>
      <c r="G40" s="18">
        <v>1</v>
      </c>
      <c r="H40" s="18">
        <v>1</v>
      </c>
      <c r="I40" s="18">
        <v>1</v>
      </c>
      <c r="J40" s="18">
        <v>1</v>
      </c>
      <c r="K40" s="18">
        <v>1</v>
      </c>
      <c r="L40" s="18">
        <v>1</v>
      </c>
      <c r="M40" s="18">
        <v>1</v>
      </c>
      <c r="N40" s="18">
        <v>1</v>
      </c>
      <c r="O40" s="18">
        <v>1</v>
      </c>
      <c r="P40" s="118">
        <v>1</v>
      </c>
      <c r="Q40" s="130">
        <f t="shared" ref="Q40:Q44" si="18">+SUM(D40:P40)</f>
        <v>13</v>
      </c>
      <c r="R40" s="64"/>
      <c r="S40" s="135">
        <f t="shared" si="17"/>
        <v>5.1020408163265302E-3</v>
      </c>
      <c r="T40" s="140"/>
      <c r="U40" s="50"/>
    </row>
    <row r="41" spans="2:21" ht="14" customHeight="1" thickTop="1" thickBot="1" x14ac:dyDescent="0.2">
      <c r="B41" s="28">
        <v>4</v>
      </c>
      <c r="C41" s="17" t="str">
        <f t="shared" si="16"/>
        <v>14 h 30 à 17 h</v>
      </c>
      <c r="D41" s="18">
        <v>1</v>
      </c>
      <c r="E41" s="18">
        <v>1</v>
      </c>
      <c r="F41" s="18">
        <v>1</v>
      </c>
      <c r="G41" s="18">
        <v>1</v>
      </c>
      <c r="H41" s="18">
        <v>1</v>
      </c>
      <c r="I41" s="18">
        <v>1</v>
      </c>
      <c r="J41" s="18">
        <v>1</v>
      </c>
      <c r="K41" s="18">
        <v>1</v>
      </c>
      <c r="L41" s="18">
        <v>1</v>
      </c>
      <c r="M41" s="18">
        <v>1</v>
      </c>
      <c r="N41" s="18">
        <v>1</v>
      </c>
      <c r="O41" s="18">
        <v>1</v>
      </c>
      <c r="P41" s="118">
        <v>1</v>
      </c>
      <c r="Q41" s="130">
        <f t="shared" si="18"/>
        <v>13</v>
      </c>
      <c r="R41" s="64"/>
      <c r="S41" s="135">
        <f t="shared" si="17"/>
        <v>5.1020408163265302E-3</v>
      </c>
      <c r="T41" s="140"/>
      <c r="U41" s="50"/>
    </row>
    <row r="42" spans="2:21" ht="14" customHeight="1" thickTop="1" thickBot="1" x14ac:dyDescent="0.2">
      <c r="B42" s="28">
        <v>5</v>
      </c>
      <c r="C42" s="17" t="str">
        <f t="shared" si="16"/>
        <v>17 h à 19 h</v>
      </c>
      <c r="D42" s="18">
        <v>1</v>
      </c>
      <c r="E42" s="18">
        <v>1</v>
      </c>
      <c r="F42" s="18">
        <v>1</v>
      </c>
      <c r="G42" s="18">
        <v>1</v>
      </c>
      <c r="H42" s="18">
        <v>1</v>
      </c>
      <c r="I42" s="18">
        <v>1</v>
      </c>
      <c r="J42" s="18">
        <v>1</v>
      </c>
      <c r="K42" s="18">
        <v>1</v>
      </c>
      <c r="L42" s="18">
        <v>1</v>
      </c>
      <c r="M42" s="18">
        <v>1</v>
      </c>
      <c r="N42" s="18">
        <v>1</v>
      </c>
      <c r="O42" s="18">
        <v>1</v>
      </c>
      <c r="P42" s="118">
        <v>1</v>
      </c>
      <c r="Q42" s="130">
        <f t="shared" si="18"/>
        <v>13</v>
      </c>
      <c r="R42" s="64"/>
      <c r="S42" s="135">
        <f t="shared" si="17"/>
        <v>5.1020408163265302E-3</v>
      </c>
      <c r="T42" s="140"/>
      <c r="U42" s="50"/>
    </row>
    <row r="43" spans="2:21" ht="14" customHeight="1" thickTop="1" thickBot="1" x14ac:dyDescent="0.2">
      <c r="B43" s="28">
        <v>6</v>
      </c>
      <c r="C43" s="17" t="str">
        <f t="shared" si="16"/>
        <v>19 h à 23 h</v>
      </c>
      <c r="D43" s="18">
        <v>1</v>
      </c>
      <c r="E43" s="18">
        <v>1</v>
      </c>
      <c r="F43" s="18">
        <v>1</v>
      </c>
      <c r="G43" s="18">
        <v>1</v>
      </c>
      <c r="H43" s="18">
        <v>1</v>
      </c>
      <c r="I43" s="18">
        <v>1</v>
      </c>
      <c r="J43" s="18">
        <v>1</v>
      </c>
      <c r="K43" s="18">
        <v>1</v>
      </c>
      <c r="L43" s="18">
        <v>1</v>
      </c>
      <c r="M43" s="18">
        <v>1</v>
      </c>
      <c r="N43" s="18">
        <v>1</v>
      </c>
      <c r="O43" s="18">
        <v>1</v>
      </c>
      <c r="P43" s="118">
        <v>1</v>
      </c>
      <c r="Q43" s="130">
        <f t="shared" si="18"/>
        <v>13</v>
      </c>
      <c r="R43" s="64"/>
      <c r="S43" s="135">
        <f t="shared" si="17"/>
        <v>5.1020408163265302E-3</v>
      </c>
      <c r="T43" s="140"/>
      <c r="U43" s="50"/>
    </row>
    <row r="44" spans="2:21" ht="14" customHeight="1" thickTop="1" thickBot="1" x14ac:dyDescent="0.2">
      <c r="B44" s="28">
        <v>7</v>
      </c>
      <c r="C44" s="17" t="str">
        <f t="shared" si="16"/>
        <v>23 h à 6 h</v>
      </c>
      <c r="D44" s="18">
        <v>1</v>
      </c>
      <c r="E44" s="18">
        <v>1</v>
      </c>
      <c r="F44" s="18">
        <v>1</v>
      </c>
      <c r="G44" s="18">
        <v>1</v>
      </c>
      <c r="H44" s="18">
        <v>1</v>
      </c>
      <c r="I44" s="18">
        <v>1</v>
      </c>
      <c r="J44" s="18">
        <v>1</v>
      </c>
      <c r="K44" s="18">
        <v>1</v>
      </c>
      <c r="L44" s="18">
        <v>1</v>
      </c>
      <c r="M44" s="18">
        <v>1</v>
      </c>
      <c r="N44" s="18">
        <v>1</v>
      </c>
      <c r="O44" s="18">
        <v>1</v>
      </c>
      <c r="P44" s="118">
        <v>1</v>
      </c>
      <c r="Q44" s="130">
        <f t="shared" si="18"/>
        <v>13</v>
      </c>
      <c r="R44" s="64"/>
      <c r="S44" s="135">
        <f t="shared" si="17"/>
        <v>5.1020408163265302E-3</v>
      </c>
      <c r="T44" s="140"/>
      <c r="U44" s="50"/>
    </row>
    <row r="45" spans="2:21" ht="14" customHeight="1" thickTop="1" thickBot="1" x14ac:dyDescent="0.2">
      <c r="B45" s="29"/>
      <c r="C45" s="36" t="str">
        <f>+C36</f>
        <v>Total</v>
      </c>
      <c r="D45" s="32">
        <f t="shared" ref="D45:K45" si="19">+D38+D39+D40+D41+D42+D43+D44</f>
        <v>7</v>
      </c>
      <c r="E45" s="32">
        <f t="shared" si="19"/>
        <v>7</v>
      </c>
      <c r="F45" s="32">
        <f t="shared" si="19"/>
        <v>7</v>
      </c>
      <c r="G45" s="31">
        <f t="shared" si="19"/>
        <v>7</v>
      </c>
      <c r="H45" s="32">
        <f t="shared" si="19"/>
        <v>7</v>
      </c>
      <c r="I45" s="32">
        <f t="shared" si="19"/>
        <v>7</v>
      </c>
      <c r="J45" s="31">
        <f t="shared" si="19"/>
        <v>7</v>
      </c>
      <c r="K45" s="32">
        <f t="shared" si="19"/>
        <v>7</v>
      </c>
      <c r="L45" s="31">
        <f>+L38+L39+L40+L41+L42+L43+L44</f>
        <v>7</v>
      </c>
      <c r="M45" s="31">
        <f>+M38+M39+M40+M41+M42+M43+M44</f>
        <v>7</v>
      </c>
      <c r="N45" s="32">
        <f>+N38+N39+N40+N41+N42+N43+N44</f>
        <v>7</v>
      </c>
      <c r="O45" s="31">
        <f>+O38+O39+O40+O41+O42+O43+O44</f>
        <v>7</v>
      </c>
      <c r="P45" s="122">
        <f>+P38+P39+P40+P41+P42+P43+P44</f>
        <v>7</v>
      </c>
      <c r="Q45" s="116">
        <f>+SUM(D45:P45)</f>
        <v>91</v>
      </c>
      <c r="R45" s="66"/>
      <c r="S45" s="137" t="s">
        <v>1</v>
      </c>
      <c r="T45" s="138">
        <f t="shared" si="10"/>
        <v>3.5714285714285712E-2</v>
      </c>
      <c r="U45" s="52"/>
    </row>
    <row r="46" spans="2:21" ht="14" customHeight="1" thickTop="1" thickBot="1" x14ac:dyDescent="0.2">
      <c r="B46" s="33" t="s">
        <v>1</v>
      </c>
      <c r="C46" s="37" t="s">
        <v>31</v>
      </c>
      <c r="D46" s="25" t="s">
        <v>1</v>
      </c>
      <c r="E46" s="25" t="s">
        <v>1</v>
      </c>
      <c r="F46" s="25" t="s">
        <v>1</v>
      </c>
      <c r="G46" s="25" t="s">
        <v>1</v>
      </c>
      <c r="H46" s="25" t="s">
        <v>1</v>
      </c>
      <c r="I46" s="25" t="s">
        <v>1</v>
      </c>
      <c r="J46" s="25" t="s">
        <v>1</v>
      </c>
      <c r="K46" s="25" t="s">
        <v>1</v>
      </c>
      <c r="L46" s="25" t="s">
        <v>1</v>
      </c>
      <c r="M46" s="25" t="s">
        <v>1</v>
      </c>
      <c r="N46" s="25" t="s">
        <v>1</v>
      </c>
      <c r="O46" s="25" t="s">
        <v>1</v>
      </c>
      <c r="P46" s="120" t="s">
        <v>1</v>
      </c>
      <c r="Q46" s="121" t="s">
        <v>1</v>
      </c>
      <c r="R46" s="57"/>
      <c r="S46" s="23" t="s">
        <v>1</v>
      </c>
      <c r="T46" s="26" t="s">
        <v>1</v>
      </c>
      <c r="U46" s="57"/>
    </row>
    <row r="47" spans="2:21" ht="14" customHeight="1" thickTop="1" thickBot="1" x14ac:dyDescent="0.2">
      <c r="B47" s="27">
        <v>1</v>
      </c>
      <c r="C47" s="38" t="str">
        <f t="shared" ref="C47:C53" si="20">C38</f>
        <v>6 h à 9 h 30</v>
      </c>
      <c r="D47" s="15">
        <v>1</v>
      </c>
      <c r="E47" s="15">
        <v>1</v>
      </c>
      <c r="F47" s="15">
        <v>1</v>
      </c>
      <c r="G47" s="15">
        <v>1</v>
      </c>
      <c r="H47" s="15">
        <v>1</v>
      </c>
      <c r="I47" s="15">
        <v>1</v>
      </c>
      <c r="J47" s="15">
        <v>1</v>
      </c>
      <c r="K47" s="15">
        <v>1</v>
      </c>
      <c r="L47" s="15">
        <v>1</v>
      </c>
      <c r="M47" s="15">
        <v>1</v>
      </c>
      <c r="N47" s="15">
        <v>1</v>
      </c>
      <c r="O47" s="15">
        <v>1</v>
      </c>
      <c r="P47" s="117">
        <v>1</v>
      </c>
      <c r="Q47" s="129">
        <f>+SUM(D47:P47)</f>
        <v>13</v>
      </c>
      <c r="R47" s="64"/>
      <c r="S47" s="133">
        <f t="shared" ref="S47:S53" si="21">SUM(D47:P47)/$Q$267</f>
        <v>5.1020408163265302E-3</v>
      </c>
      <c r="T47" s="139"/>
      <c r="U47" s="50"/>
    </row>
    <row r="48" spans="2:21" ht="14" customHeight="1" thickTop="1" thickBot="1" x14ac:dyDescent="0.2">
      <c r="B48" s="28">
        <v>2</v>
      </c>
      <c r="C48" s="17" t="str">
        <f t="shared" si="20"/>
        <v>9 h 30 à 11 h 30</v>
      </c>
      <c r="D48" s="18">
        <v>1</v>
      </c>
      <c r="E48" s="18">
        <v>1</v>
      </c>
      <c r="F48" s="18">
        <v>1</v>
      </c>
      <c r="G48" s="18">
        <v>1</v>
      </c>
      <c r="H48" s="18">
        <v>1</v>
      </c>
      <c r="I48" s="18">
        <v>1</v>
      </c>
      <c r="J48" s="18">
        <v>1</v>
      </c>
      <c r="K48" s="18">
        <v>1</v>
      </c>
      <c r="L48" s="18">
        <v>1</v>
      </c>
      <c r="M48" s="18">
        <v>1</v>
      </c>
      <c r="N48" s="18">
        <v>1</v>
      </c>
      <c r="O48" s="18">
        <v>1</v>
      </c>
      <c r="P48" s="118">
        <v>1</v>
      </c>
      <c r="Q48" s="130">
        <f>+SUM(D48:P48)</f>
        <v>13</v>
      </c>
      <c r="R48" s="64"/>
      <c r="S48" s="135">
        <f t="shared" si="21"/>
        <v>5.1020408163265302E-3</v>
      </c>
      <c r="T48" s="140"/>
      <c r="U48" s="50"/>
    </row>
    <row r="49" spans="2:21" ht="14" customHeight="1" thickTop="1" thickBot="1" x14ac:dyDescent="0.2">
      <c r="B49" s="28">
        <v>3</v>
      </c>
      <c r="C49" s="17" t="str">
        <f t="shared" si="20"/>
        <v>11 h 30 à 14 h 30</v>
      </c>
      <c r="D49" s="18">
        <v>1</v>
      </c>
      <c r="E49" s="18">
        <v>1</v>
      </c>
      <c r="F49" s="18">
        <v>1</v>
      </c>
      <c r="G49" s="18">
        <v>1</v>
      </c>
      <c r="H49" s="18">
        <v>1</v>
      </c>
      <c r="I49" s="18">
        <v>1</v>
      </c>
      <c r="J49" s="18">
        <v>1</v>
      </c>
      <c r="K49" s="18">
        <v>1</v>
      </c>
      <c r="L49" s="18">
        <v>1</v>
      </c>
      <c r="M49" s="18">
        <v>1</v>
      </c>
      <c r="N49" s="18">
        <v>1</v>
      </c>
      <c r="O49" s="18">
        <v>1</v>
      </c>
      <c r="P49" s="118">
        <v>1</v>
      </c>
      <c r="Q49" s="130">
        <f t="shared" ref="Q49:Q53" si="22">+SUM(D49:P49)</f>
        <v>13</v>
      </c>
      <c r="R49" s="64"/>
      <c r="S49" s="135">
        <f t="shared" si="21"/>
        <v>5.1020408163265302E-3</v>
      </c>
      <c r="T49" s="140"/>
      <c r="U49" s="50"/>
    </row>
    <row r="50" spans="2:21" ht="14" customHeight="1" thickTop="1" thickBot="1" x14ac:dyDescent="0.2">
      <c r="B50" s="28">
        <v>4</v>
      </c>
      <c r="C50" s="17" t="str">
        <f t="shared" si="20"/>
        <v>14 h 30 à 17 h</v>
      </c>
      <c r="D50" s="18">
        <v>1</v>
      </c>
      <c r="E50" s="18">
        <v>1</v>
      </c>
      <c r="F50" s="18">
        <v>1</v>
      </c>
      <c r="G50" s="18">
        <v>1</v>
      </c>
      <c r="H50" s="18">
        <v>1</v>
      </c>
      <c r="I50" s="18">
        <v>1</v>
      </c>
      <c r="J50" s="18">
        <v>1</v>
      </c>
      <c r="K50" s="18">
        <v>1</v>
      </c>
      <c r="L50" s="18">
        <v>1</v>
      </c>
      <c r="M50" s="18">
        <v>1</v>
      </c>
      <c r="N50" s="18">
        <v>1</v>
      </c>
      <c r="O50" s="18">
        <v>1</v>
      </c>
      <c r="P50" s="118">
        <v>1</v>
      </c>
      <c r="Q50" s="130">
        <f t="shared" si="22"/>
        <v>13</v>
      </c>
      <c r="R50" s="64"/>
      <c r="S50" s="135">
        <f t="shared" si="21"/>
        <v>5.1020408163265302E-3</v>
      </c>
      <c r="T50" s="140"/>
      <c r="U50" s="50"/>
    </row>
    <row r="51" spans="2:21" ht="14" customHeight="1" thickTop="1" thickBot="1" x14ac:dyDescent="0.2">
      <c r="B51" s="28">
        <v>5</v>
      </c>
      <c r="C51" s="17" t="str">
        <f t="shared" si="20"/>
        <v>17 h à 19 h</v>
      </c>
      <c r="D51" s="18">
        <v>1</v>
      </c>
      <c r="E51" s="18">
        <v>1</v>
      </c>
      <c r="F51" s="18">
        <v>1</v>
      </c>
      <c r="G51" s="18">
        <v>1</v>
      </c>
      <c r="H51" s="18">
        <v>1</v>
      </c>
      <c r="I51" s="18">
        <v>1</v>
      </c>
      <c r="J51" s="18">
        <v>1</v>
      </c>
      <c r="K51" s="18">
        <v>1</v>
      </c>
      <c r="L51" s="18">
        <v>1</v>
      </c>
      <c r="M51" s="18">
        <v>1</v>
      </c>
      <c r="N51" s="18">
        <v>1</v>
      </c>
      <c r="O51" s="18">
        <v>1</v>
      </c>
      <c r="P51" s="118">
        <v>1</v>
      </c>
      <c r="Q51" s="130">
        <f t="shared" si="22"/>
        <v>13</v>
      </c>
      <c r="R51" s="64"/>
      <c r="S51" s="135">
        <f t="shared" si="21"/>
        <v>5.1020408163265302E-3</v>
      </c>
      <c r="T51" s="140"/>
      <c r="U51" s="50"/>
    </row>
    <row r="52" spans="2:21" ht="14" customHeight="1" thickTop="1" thickBot="1" x14ac:dyDescent="0.2">
      <c r="B52" s="28">
        <v>6</v>
      </c>
      <c r="C52" s="17" t="str">
        <f t="shared" si="20"/>
        <v>19 h à 23 h</v>
      </c>
      <c r="D52" s="18">
        <v>1</v>
      </c>
      <c r="E52" s="18">
        <v>1</v>
      </c>
      <c r="F52" s="18">
        <v>1</v>
      </c>
      <c r="G52" s="18">
        <v>1</v>
      </c>
      <c r="H52" s="18">
        <v>1</v>
      </c>
      <c r="I52" s="18">
        <v>1</v>
      </c>
      <c r="J52" s="18">
        <v>1</v>
      </c>
      <c r="K52" s="18">
        <v>1</v>
      </c>
      <c r="L52" s="18">
        <v>1</v>
      </c>
      <c r="M52" s="18">
        <v>1</v>
      </c>
      <c r="N52" s="18">
        <v>1</v>
      </c>
      <c r="O52" s="18">
        <v>1</v>
      </c>
      <c r="P52" s="118">
        <v>1</v>
      </c>
      <c r="Q52" s="130">
        <f t="shared" si="22"/>
        <v>13</v>
      </c>
      <c r="R52" s="64"/>
      <c r="S52" s="135">
        <f t="shared" si="21"/>
        <v>5.1020408163265302E-3</v>
      </c>
      <c r="T52" s="140"/>
      <c r="U52" s="50"/>
    </row>
    <row r="53" spans="2:21" ht="14" customHeight="1" thickTop="1" thickBot="1" x14ac:dyDescent="0.2">
      <c r="B53" s="28">
        <v>7</v>
      </c>
      <c r="C53" s="17" t="str">
        <f t="shared" si="20"/>
        <v>23 h à 6 h</v>
      </c>
      <c r="D53" s="18">
        <v>1</v>
      </c>
      <c r="E53" s="18">
        <v>1</v>
      </c>
      <c r="F53" s="18">
        <v>1</v>
      </c>
      <c r="G53" s="18">
        <v>1</v>
      </c>
      <c r="H53" s="18">
        <v>1</v>
      </c>
      <c r="I53" s="18">
        <v>1</v>
      </c>
      <c r="J53" s="18">
        <v>1</v>
      </c>
      <c r="K53" s="18">
        <v>1</v>
      </c>
      <c r="L53" s="18">
        <v>1</v>
      </c>
      <c r="M53" s="18">
        <v>1</v>
      </c>
      <c r="N53" s="18">
        <v>1</v>
      </c>
      <c r="O53" s="18">
        <v>1</v>
      </c>
      <c r="P53" s="118">
        <v>1</v>
      </c>
      <c r="Q53" s="130">
        <f t="shared" si="22"/>
        <v>13</v>
      </c>
      <c r="R53" s="64"/>
      <c r="S53" s="135">
        <f t="shared" si="21"/>
        <v>5.1020408163265302E-3</v>
      </c>
      <c r="T53" s="140"/>
      <c r="U53" s="50"/>
    </row>
    <row r="54" spans="2:21" ht="14" customHeight="1" thickTop="1" thickBot="1" x14ac:dyDescent="0.2">
      <c r="B54" s="29"/>
      <c r="C54" s="30" t="str">
        <f t="shared" ref="C54" si="23">+C45</f>
        <v>Total</v>
      </c>
      <c r="D54" s="32">
        <f t="shared" ref="D54:M54" si="24">+D47+D48+D49+D50+D51+D52+D53</f>
        <v>7</v>
      </c>
      <c r="E54" s="32">
        <f t="shared" si="24"/>
        <v>7</v>
      </c>
      <c r="F54" s="32">
        <f t="shared" si="24"/>
        <v>7</v>
      </c>
      <c r="G54" s="31">
        <f t="shared" si="24"/>
        <v>7</v>
      </c>
      <c r="H54" s="32">
        <f t="shared" si="24"/>
        <v>7</v>
      </c>
      <c r="I54" s="32">
        <f t="shared" si="24"/>
        <v>7</v>
      </c>
      <c r="J54" s="31">
        <f t="shared" si="24"/>
        <v>7</v>
      </c>
      <c r="K54" s="32">
        <f t="shared" si="24"/>
        <v>7</v>
      </c>
      <c r="L54" s="32">
        <f t="shared" si="24"/>
        <v>7</v>
      </c>
      <c r="M54" s="31">
        <f t="shared" si="24"/>
        <v>7</v>
      </c>
      <c r="N54" s="32">
        <f>+N47+N48+N49+N50+N51+N52+N53</f>
        <v>7</v>
      </c>
      <c r="O54" s="32">
        <f>+O47+O48+O49+O50+O51+O52+O53</f>
        <v>7</v>
      </c>
      <c r="P54" s="119">
        <f>+P47+P48+P49+P50+P51+P52+P53</f>
        <v>7</v>
      </c>
      <c r="Q54" s="116">
        <f>+SUM(D54:P54)</f>
        <v>91</v>
      </c>
      <c r="R54" s="66"/>
      <c r="S54" s="137" t="s">
        <v>1</v>
      </c>
      <c r="T54" s="138">
        <f t="shared" si="10"/>
        <v>3.5714285714285712E-2</v>
      </c>
      <c r="U54" s="52"/>
    </row>
    <row r="55" spans="2:21" ht="14" customHeight="1" thickTop="1" thickBot="1" x14ac:dyDescent="0.2">
      <c r="B55" s="33" t="s">
        <v>1</v>
      </c>
      <c r="C55" s="34" t="s">
        <v>32</v>
      </c>
      <c r="D55" s="25" t="s">
        <v>1</v>
      </c>
      <c r="E55" s="25" t="s">
        <v>1</v>
      </c>
      <c r="F55" s="25" t="s">
        <v>1</v>
      </c>
      <c r="G55" s="25" t="s">
        <v>1</v>
      </c>
      <c r="H55" s="25" t="s">
        <v>1</v>
      </c>
      <c r="I55" s="25" t="s">
        <v>1</v>
      </c>
      <c r="J55" s="25" t="s">
        <v>1</v>
      </c>
      <c r="K55" s="25" t="s">
        <v>1</v>
      </c>
      <c r="L55" s="25" t="s">
        <v>1</v>
      </c>
      <c r="M55" s="25" t="s">
        <v>1</v>
      </c>
      <c r="N55" s="25" t="s">
        <v>1</v>
      </c>
      <c r="O55" s="25" t="s">
        <v>1</v>
      </c>
      <c r="P55" s="120" t="s">
        <v>1</v>
      </c>
      <c r="Q55" s="121" t="s">
        <v>1</v>
      </c>
      <c r="R55" s="57"/>
      <c r="S55" s="23" t="s">
        <v>1</v>
      </c>
      <c r="T55" s="26" t="s">
        <v>1</v>
      </c>
      <c r="U55" s="57"/>
    </row>
    <row r="56" spans="2:21" ht="14" customHeight="1" thickTop="1" thickBot="1" x14ac:dyDescent="0.2">
      <c r="B56" s="27">
        <v>1</v>
      </c>
      <c r="C56" s="14" t="str">
        <f t="shared" ref="C56:C62" si="25">C47</f>
        <v>6 h à 9 h 30</v>
      </c>
      <c r="D56" s="15">
        <v>1</v>
      </c>
      <c r="E56" s="15">
        <v>1</v>
      </c>
      <c r="F56" s="15">
        <v>1</v>
      </c>
      <c r="G56" s="15">
        <v>1</v>
      </c>
      <c r="H56" s="15">
        <v>1</v>
      </c>
      <c r="I56" s="15">
        <v>1</v>
      </c>
      <c r="J56" s="15">
        <v>1</v>
      </c>
      <c r="K56" s="15">
        <v>1</v>
      </c>
      <c r="L56" s="15">
        <v>1</v>
      </c>
      <c r="M56" s="15">
        <v>1</v>
      </c>
      <c r="N56" s="15">
        <v>1</v>
      </c>
      <c r="O56" s="15">
        <v>1</v>
      </c>
      <c r="P56" s="117">
        <v>1</v>
      </c>
      <c r="Q56" s="129">
        <f>+SUM(D56:P56)</f>
        <v>13</v>
      </c>
      <c r="R56" s="64"/>
      <c r="S56" s="133">
        <f t="shared" ref="S56:S62" si="26">SUM(D56:P56)/$Q$267</f>
        <v>5.1020408163265302E-3</v>
      </c>
      <c r="T56" s="139"/>
      <c r="U56" s="50"/>
    </row>
    <row r="57" spans="2:21" ht="14" customHeight="1" thickTop="1" thickBot="1" x14ac:dyDescent="0.2">
      <c r="B57" s="27">
        <v>2</v>
      </c>
      <c r="C57" s="17" t="str">
        <f t="shared" si="25"/>
        <v>9 h 30 à 11 h 30</v>
      </c>
      <c r="D57" s="18">
        <v>1</v>
      </c>
      <c r="E57" s="18">
        <v>1</v>
      </c>
      <c r="F57" s="18">
        <v>1</v>
      </c>
      <c r="G57" s="18">
        <v>1</v>
      </c>
      <c r="H57" s="18">
        <v>1</v>
      </c>
      <c r="I57" s="18">
        <v>1</v>
      </c>
      <c r="J57" s="18">
        <v>1</v>
      </c>
      <c r="K57" s="18">
        <v>1</v>
      </c>
      <c r="L57" s="18">
        <v>1</v>
      </c>
      <c r="M57" s="18">
        <v>1</v>
      </c>
      <c r="N57" s="18">
        <v>1</v>
      </c>
      <c r="O57" s="18">
        <v>1</v>
      </c>
      <c r="P57" s="118">
        <v>1</v>
      </c>
      <c r="Q57" s="130">
        <f>+SUM(D57:P57)</f>
        <v>13</v>
      </c>
      <c r="R57" s="64"/>
      <c r="S57" s="135">
        <f t="shared" si="26"/>
        <v>5.1020408163265302E-3</v>
      </c>
      <c r="T57" s="140"/>
      <c r="U57" s="50"/>
    </row>
    <row r="58" spans="2:21" ht="14" customHeight="1" thickTop="1" thickBot="1" x14ac:dyDescent="0.2">
      <c r="B58" s="27">
        <v>3</v>
      </c>
      <c r="C58" s="17" t="str">
        <f t="shared" si="25"/>
        <v>11 h 30 à 14 h 30</v>
      </c>
      <c r="D58" s="18">
        <v>1</v>
      </c>
      <c r="E58" s="18">
        <v>1</v>
      </c>
      <c r="F58" s="18">
        <v>1</v>
      </c>
      <c r="G58" s="18">
        <v>1</v>
      </c>
      <c r="H58" s="18">
        <v>1</v>
      </c>
      <c r="I58" s="18">
        <v>1</v>
      </c>
      <c r="J58" s="18">
        <v>1</v>
      </c>
      <c r="K58" s="18">
        <v>1</v>
      </c>
      <c r="L58" s="18">
        <v>1</v>
      </c>
      <c r="M58" s="18">
        <v>1</v>
      </c>
      <c r="N58" s="18">
        <v>1</v>
      </c>
      <c r="O58" s="18">
        <v>1</v>
      </c>
      <c r="P58" s="118">
        <v>1</v>
      </c>
      <c r="Q58" s="130">
        <f t="shared" ref="Q58:Q62" si="27">+SUM(D58:P58)</f>
        <v>13</v>
      </c>
      <c r="R58" s="64"/>
      <c r="S58" s="135">
        <f t="shared" si="26"/>
        <v>5.1020408163265302E-3</v>
      </c>
      <c r="T58" s="140"/>
      <c r="U58" s="50"/>
    </row>
    <row r="59" spans="2:21" ht="14" customHeight="1" thickTop="1" thickBot="1" x14ac:dyDescent="0.2">
      <c r="B59" s="27">
        <v>4</v>
      </c>
      <c r="C59" s="17" t="str">
        <f t="shared" si="25"/>
        <v>14 h 30 à 17 h</v>
      </c>
      <c r="D59" s="18">
        <v>1</v>
      </c>
      <c r="E59" s="18">
        <v>1</v>
      </c>
      <c r="F59" s="18">
        <v>1</v>
      </c>
      <c r="G59" s="18">
        <v>1</v>
      </c>
      <c r="H59" s="18">
        <v>1</v>
      </c>
      <c r="I59" s="18">
        <v>1</v>
      </c>
      <c r="J59" s="18">
        <v>1</v>
      </c>
      <c r="K59" s="18">
        <v>1</v>
      </c>
      <c r="L59" s="18">
        <v>1</v>
      </c>
      <c r="M59" s="18">
        <v>1</v>
      </c>
      <c r="N59" s="18">
        <v>1</v>
      </c>
      <c r="O59" s="18">
        <v>1</v>
      </c>
      <c r="P59" s="118">
        <v>1</v>
      </c>
      <c r="Q59" s="130">
        <f t="shared" si="27"/>
        <v>13</v>
      </c>
      <c r="R59" s="64"/>
      <c r="S59" s="135">
        <f t="shared" si="26"/>
        <v>5.1020408163265302E-3</v>
      </c>
      <c r="T59" s="140"/>
      <c r="U59" s="50"/>
    </row>
    <row r="60" spans="2:21" ht="14" customHeight="1" thickTop="1" thickBot="1" x14ac:dyDescent="0.2">
      <c r="B60" s="27">
        <v>5</v>
      </c>
      <c r="C60" s="17" t="str">
        <f t="shared" si="25"/>
        <v>17 h à 19 h</v>
      </c>
      <c r="D60" s="18">
        <v>1</v>
      </c>
      <c r="E60" s="18">
        <v>1</v>
      </c>
      <c r="F60" s="18">
        <v>1</v>
      </c>
      <c r="G60" s="18">
        <v>1</v>
      </c>
      <c r="H60" s="18">
        <v>1</v>
      </c>
      <c r="I60" s="18">
        <v>1</v>
      </c>
      <c r="J60" s="18">
        <v>1</v>
      </c>
      <c r="K60" s="18">
        <v>1</v>
      </c>
      <c r="L60" s="18">
        <v>1</v>
      </c>
      <c r="M60" s="18">
        <v>1</v>
      </c>
      <c r="N60" s="18">
        <v>1</v>
      </c>
      <c r="O60" s="18">
        <v>1</v>
      </c>
      <c r="P60" s="118">
        <v>1</v>
      </c>
      <c r="Q60" s="130">
        <f t="shared" si="27"/>
        <v>13</v>
      </c>
      <c r="R60" s="64"/>
      <c r="S60" s="135">
        <f t="shared" si="26"/>
        <v>5.1020408163265302E-3</v>
      </c>
      <c r="T60" s="140"/>
      <c r="U60" s="50"/>
    </row>
    <row r="61" spans="2:21" ht="14" customHeight="1" thickTop="1" thickBot="1" x14ac:dyDescent="0.2">
      <c r="B61" s="27">
        <v>6</v>
      </c>
      <c r="C61" s="17" t="str">
        <f t="shared" si="25"/>
        <v>19 h à 23 h</v>
      </c>
      <c r="D61" s="18">
        <v>1</v>
      </c>
      <c r="E61" s="18">
        <v>1</v>
      </c>
      <c r="F61" s="18">
        <v>1</v>
      </c>
      <c r="G61" s="18">
        <v>1</v>
      </c>
      <c r="H61" s="18">
        <v>1</v>
      </c>
      <c r="I61" s="18">
        <v>1</v>
      </c>
      <c r="J61" s="18">
        <v>1</v>
      </c>
      <c r="K61" s="18">
        <v>1</v>
      </c>
      <c r="L61" s="18">
        <v>1</v>
      </c>
      <c r="M61" s="18">
        <v>1</v>
      </c>
      <c r="N61" s="18">
        <v>1</v>
      </c>
      <c r="O61" s="18">
        <v>1</v>
      </c>
      <c r="P61" s="118">
        <v>1</v>
      </c>
      <c r="Q61" s="130">
        <f t="shared" si="27"/>
        <v>13</v>
      </c>
      <c r="R61" s="64"/>
      <c r="S61" s="135">
        <f t="shared" si="26"/>
        <v>5.1020408163265302E-3</v>
      </c>
      <c r="T61" s="140"/>
      <c r="U61" s="50"/>
    </row>
    <row r="62" spans="2:21" ht="14" customHeight="1" thickTop="1" thickBot="1" x14ac:dyDescent="0.2">
      <c r="B62" s="27">
        <v>7</v>
      </c>
      <c r="C62" s="17" t="str">
        <f t="shared" si="25"/>
        <v>23 h à 6 h</v>
      </c>
      <c r="D62" s="18">
        <v>1</v>
      </c>
      <c r="E62" s="18">
        <v>1</v>
      </c>
      <c r="F62" s="18">
        <v>1</v>
      </c>
      <c r="G62" s="18">
        <v>1</v>
      </c>
      <c r="H62" s="18">
        <v>1</v>
      </c>
      <c r="I62" s="18">
        <v>1</v>
      </c>
      <c r="J62" s="18">
        <v>1</v>
      </c>
      <c r="K62" s="18">
        <v>1</v>
      </c>
      <c r="L62" s="18">
        <v>1</v>
      </c>
      <c r="M62" s="18">
        <v>1</v>
      </c>
      <c r="N62" s="18">
        <v>1</v>
      </c>
      <c r="O62" s="18">
        <v>1</v>
      </c>
      <c r="P62" s="118">
        <v>1</v>
      </c>
      <c r="Q62" s="130">
        <f t="shared" si="27"/>
        <v>13</v>
      </c>
      <c r="R62" s="64"/>
      <c r="S62" s="135">
        <f t="shared" si="26"/>
        <v>5.1020408163265302E-3</v>
      </c>
      <c r="T62" s="140"/>
      <c r="U62" s="50"/>
    </row>
    <row r="63" spans="2:21" ht="14" customHeight="1" thickTop="1" thickBot="1" x14ac:dyDescent="0.2">
      <c r="B63" s="29"/>
      <c r="C63" s="36" t="str">
        <f t="shared" ref="C63" si="28">+C54</f>
        <v>Total</v>
      </c>
      <c r="D63" s="32">
        <f t="shared" ref="D63:M63" si="29">+D56+D57+D58+D59+D60+D61+D62</f>
        <v>7</v>
      </c>
      <c r="E63" s="32">
        <f t="shared" si="29"/>
        <v>7</v>
      </c>
      <c r="F63" s="32">
        <f t="shared" si="29"/>
        <v>7</v>
      </c>
      <c r="G63" s="32">
        <f t="shared" si="29"/>
        <v>7</v>
      </c>
      <c r="H63" s="32">
        <f t="shared" si="29"/>
        <v>7</v>
      </c>
      <c r="I63" s="32">
        <f t="shared" si="29"/>
        <v>7</v>
      </c>
      <c r="J63" s="32">
        <f t="shared" si="29"/>
        <v>7</v>
      </c>
      <c r="K63" s="32">
        <f t="shared" si="29"/>
        <v>7</v>
      </c>
      <c r="L63" s="32">
        <f t="shared" si="29"/>
        <v>7</v>
      </c>
      <c r="M63" s="31">
        <f t="shared" si="29"/>
        <v>7</v>
      </c>
      <c r="N63" s="32">
        <f>+N56+N57+N58+N59+N60+N61+N62</f>
        <v>7</v>
      </c>
      <c r="O63" s="32">
        <f>+O56+O57+O58+O59+O60+O61+O62</f>
        <v>7</v>
      </c>
      <c r="P63" s="119">
        <f>+P56+P57+P58+P59+P60+P61+P62</f>
        <v>7</v>
      </c>
      <c r="Q63" s="116">
        <f>+SUM(D63:P63)</f>
        <v>91</v>
      </c>
      <c r="R63" s="66"/>
      <c r="S63" s="137" t="s">
        <v>1</v>
      </c>
      <c r="T63" s="138">
        <f t="shared" si="10"/>
        <v>3.5714285714285712E-2</v>
      </c>
      <c r="U63" s="52"/>
    </row>
    <row r="64" spans="2:21" ht="14" customHeight="1" thickTop="1" thickBot="1" x14ac:dyDescent="0.2">
      <c r="B64" s="33" t="s">
        <v>1</v>
      </c>
      <c r="C64" s="37" t="s">
        <v>33</v>
      </c>
      <c r="D64" s="25" t="s">
        <v>1</v>
      </c>
      <c r="E64" s="25" t="s">
        <v>1</v>
      </c>
      <c r="F64" s="25" t="s">
        <v>1</v>
      </c>
      <c r="G64" s="25" t="s">
        <v>1</v>
      </c>
      <c r="H64" s="25" t="s">
        <v>1</v>
      </c>
      <c r="I64" s="25" t="s">
        <v>1</v>
      </c>
      <c r="J64" s="25" t="s">
        <v>1</v>
      </c>
      <c r="K64" s="25" t="s">
        <v>1</v>
      </c>
      <c r="L64" s="25" t="s">
        <v>1</v>
      </c>
      <c r="M64" s="25" t="s">
        <v>1</v>
      </c>
      <c r="N64" s="25" t="s">
        <v>1</v>
      </c>
      <c r="O64" s="25" t="s">
        <v>1</v>
      </c>
      <c r="P64" s="120" t="s">
        <v>1</v>
      </c>
      <c r="Q64" s="121" t="s">
        <v>1</v>
      </c>
      <c r="R64" s="57"/>
      <c r="S64" s="23" t="s">
        <v>1</v>
      </c>
      <c r="T64" s="26" t="s">
        <v>1</v>
      </c>
      <c r="U64" s="57"/>
    </row>
    <row r="65" spans="2:21" ht="14" customHeight="1" thickTop="1" thickBot="1" x14ac:dyDescent="0.2">
      <c r="B65" s="28">
        <v>1</v>
      </c>
      <c r="C65" s="14" t="str">
        <f t="shared" ref="C65:C71" si="30">C56</f>
        <v>6 h à 9 h 30</v>
      </c>
      <c r="D65" s="15">
        <v>1</v>
      </c>
      <c r="E65" s="15">
        <v>1</v>
      </c>
      <c r="F65" s="15">
        <v>1</v>
      </c>
      <c r="G65" s="15">
        <v>1</v>
      </c>
      <c r="H65" s="15">
        <v>1</v>
      </c>
      <c r="I65" s="15">
        <v>1</v>
      </c>
      <c r="J65" s="15">
        <v>1</v>
      </c>
      <c r="K65" s="15">
        <v>1</v>
      </c>
      <c r="L65" s="15">
        <v>1</v>
      </c>
      <c r="M65" s="15">
        <v>1</v>
      </c>
      <c r="N65" s="15">
        <v>1</v>
      </c>
      <c r="O65" s="15">
        <v>1</v>
      </c>
      <c r="P65" s="117">
        <v>1</v>
      </c>
      <c r="Q65" s="129">
        <f>+SUM(D65:P65)</f>
        <v>13</v>
      </c>
      <c r="R65" s="64"/>
      <c r="S65" s="133">
        <f t="shared" ref="S65:S71" si="31">SUM(D65:P65)/$Q$267</f>
        <v>5.1020408163265302E-3</v>
      </c>
      <c r="T65" s="139"/>
      <c r="U65" s="50"/>
    </row>
    <row r="66" spans="2:21" ht="14" customHeight="1" thickTop="1" thickBot="1" x14ac:dyDescent="0.2">
      <c r="B66" s="27">
        <v>2</v>
      </c>
      <c r="C66" s="17" t="str">
        <f t="shared" si="30"/>
        <v>9 h 30 à 11 h 30</v>
      </c>
      <c r="D66" s="18">
        <v>1</v>
      </c>
      <c r="E66" s="18">
        <v>1</v>
      </c>
      <c r="F66" s="18">
        <v>1</v>
      </c>
      <c r="G66" s="18">
        <v>1</v>
      </c>
      <c r="H66" s="18">
        <v>1</v>
      </c>
      <c r="I66" s="18">
        <v>1</v>
      </c>
      <c r="J66" s="18">
        <v>1</v>
      </c>
      <c r="K66" s="18">
        <v>1</v>
      </c>
      <c r="L66" s="18">
        <v>1</v>
      </c>
      <c r="M66" s="18">
        <v>1</v>
      </c>
      <c r="N66" s="18">
        <v>1</v>
      </c>
      <c r="O66" s="18">
        <v>1</v>
      </c>
      <c r="P66" s="118">
        <v>1</v>
      </c>
      <c r="Q66" s="130">
        <f>+SUM(D66:P66)</f>
        <v>13</v>
      </c>
      <c r="R66" s="64"/>
      <c r="S66" s="135">
        <f t="shared" si="31"/>
        <v>5.1020408163265302E-3</v>
      </c>
      <c r="T66" s="140"/>
      <c r="U66" s="50"/>
    </row>
    <row r="67" spans="2:21" ht="14" customHeight="1" thickTop="1" thickBot="1" x14ac:dyDescent="0.2">
      <c r="B67" s="27">
        <v>3</v>
      </c>
      <c r="C67" s="17" t="str">
        <f t="shared" si="30"/>
        <v>11 h 30 à 14 h 30</v>
      </c>
      <c r="D67" s="18">
        <v>1</v>
      </c>
      <c r="E67" s="18">
        <v>1</v>
      </c>
      <c r="F67" s="18">
        <v>1</v>
      </c>
      <c r="G67" s="18">
        <v>1</v>
      </c>
      <c r="H67" s="18">
        <v>1</v>
      </c>
      <c r="I67" s="18">
        <v>1</v>
      </c>
      <c r="J67" s="18">
        <v>1</v>
      </c>
      <c r="K67" s="18">
        <v>1</v>
      </c>
      <c r="L67" s="18">
        <v>1</v>
      </c>
      <c r="M67" s="18">
        <v>1</v>
      </c>
      <c r="N67" s="18">
        <v>1</v>
      </c>
      <c r="O67" s="18">
        <v>1</v>
      </c>
      <c r="P67" s="118">
        <v>1</v>
      </c>
      <c r="Q67" s="130">
        <f t="shared" ref="Q67:Q71" si="32">+SUM(D67:P67)</f>
        <v>13</v>
      </c>
      <c r="R67" s="64"/>
      <c r="S67" s="135">
        <f t="shared" si="31"/>
        <v>5.1020408163265302E-3</v>
      </c>
      <c r="T67" s="140"/>
      <c r="U67" s="50"/>
    </row>
    <row r="68" spans="2:21" ht="14" customHeight="1" thickTop="1" thickBot="1" x14ac:dyDescent="0.2">
      <c r="B68" s="27">
        <v>4</v>
      </c>
      <c r="C68" s="17" t="str">
        <f t="shared" si="30"/>
        <v>14 h 30 à 17 h</v>
      </c>
      <c r="D68" s="18">
        <v>1</v>
      </c>
      <c r="E68" s="18">
        <v>1</v>
      </c>
      <c r="F68" s="18">
        <v>1</v>
      </c>
      <c r="G68" s="18">
        <v>1</v>
      </c>
      <c r="H68" s="18">
        <v>1</v>
      </c>
      <c r="I68" s="18">
        <v>1</v>
      </c>
      <c r="J68" s="18">
        <v>1</v>
      </c>
      <c r="K68" s="18">
        <v>1</v>
      </c>
      <c r="L68" s="18">
        <v>1</v>
      </c>
      <c r="M68" s="18">
        <v>1</v>
      </c>
      <c r="N68" s="18">
        <v>1</v>
      </c>
      <c r="O68" s="18">
        <v>1</v>
      </c>
      <c r="P68" s="118">
        <v>1</v>
      </c>
      <c r="Q68" s="130">
        <f t="shared" si="32"/>
        <v>13</v>
      </c>
      <c r="R68" s="64"/>
      <c r="S68" s="135">
        <f t="shared" si="31"/>
        <v>5.1020408163265302E-3</v>
      </c>
      <c r="T68" s="140"/>
      <c r="U68" s="50"/>
    </row>
    <row r="69" spans="2:21" ht="14" customHeight="1" thickTop="1" thickBot="1" x14ac:dyDescent="0.2">
      <c r="B69" s="27">
        <v>5</v>
      </c>
      <c r="C69" s="17" t="str">
        <f t="shared" si="30"/>
        <v>17 h à 19 h</v>
      </c>
      <c r="D69" s="18">
        <v>1</v>
      </c>
      <c r="E69" s="18">
        <v>1</v>
      </c>
      <c r="F69" s="18">
        <v>1</v>
      </c>
      <c r="G69" s="18">
        <v>1</v>
      </c>
      <c r="H69" s="18">
        <v>1</v>
      </c>
      <c r="I69" s="18">
        <v>1</v>
      </c>
      <c r="J69" s="18">
        <v>1</v>
      </c>
      <c r="K69" s="18">
        <v>1</v>
      </c>
      <c r="L69" s="18">
        <v>1</v>
      </c>
      <c r="M69" s="18">
        <v>1</v>
      </c>
      <c r="N69" s="18">
        <v>1</v>
      </c>
      <c r="O69" s="18">
        <v>1</v>
      </c>
      <c r="P69" s="118">
        <v>1</v>
      </c>
      <c r="Q69" s="130">
        <f t="shared" si="32"/>
        <v>13</v>
      </c>
      <c r="R69" s="64"/>
      <c r="S69" s="135">
        <f t="shared" si="31"/>
        <v>5.1020408163265302E-3</v>
      </c>
      <c r="T69" s="140"/>
      <c r="U69" s="50"/>
    </row>
    <row r="70" spans="2:21" ht="14" customHeight="1" thickTop="1" thickBot="1" x14ac:dyDescent="0.2">
      <c r="B70" s="27">
        <v>6</v>
      </c>
      <c r="C70" s="17" t="str">
        <f t="shared" si="30"/>
        <v>19 h à 23 h</v>
      </c>
      <c r="D70" s="18">
        <v>1</v>
      </c>
      <c r="E70" s="18">
        <v>1</v>
      </c>
      <c r="F70" s="18">
        <v>1</v>
      </c>
      <c r="G70" s="18">
        <v>1</v>
      </c>
      <c r="H70" s="18">
        <v>1</v>
      </c>
      <c r="I70" s="18">
        <v>1</v>
      </c>
      <c r="J70" s="18">
        <v>1</v>
      </c>
      <c r="K70" s="18">
        <v>1</v>
      </c>
      <c r="L70" s="18">
        <v>1</v>
      </c>
      <c r="M70" s="18">
        <v>1</v>
      </c>
      <c r="N70" s="18">
        <v>1</v>
      </c>
      <c r="O70" s="18">
        <v>1</v>
      </c>
      <c r="P70" s="118">
        <v>1</v>
      </c>
      <c r="Q70" s="130">
        <f t="shared" si="32"/>
        <v>13</v>
      </c>
      <c r="R70" s="64"/>
      <c r="S70" s="135">
        <f t="shared" si="31"/>
        <v>5.1020408163265302E-3</v>
      </c>
      <c r="T70" s="140"/>
      <c r="U70" s="50"/>
    </row>
    <row r="71" spans="2:21" ht="14" customHeight="1" thickTop="1" thickBot="1" x14ac:dyDescent="0.2">
      <c r="B71" s="27">
        <v>7</v>
      </c>
      <c r="C71" s="17" t="str">
        <f t="shared" si="30"/>
        <v>23 h à 6 h</v>
      </c>
      <c r="D71" s="18">
        <v>1</v>
      </c>
      <c r="E71" s="18">
        <v>1</v>
      </c>
      <c r="F71" s="18">
        <v>1</v>
      </c>
      <c r="G71" s="18">
        <v>1</v>
      </c>
      <c r="H71" s="18">
        <v>1</v>
      </c>
      <c r="I71" s="18">
        <v>1</v>
      </c>
      <c r="J71" s="18">
        <v>1</v>
      </c>
      <c r="K71" s="18">
        <v>1</v>
      </c>
      <c r="L71" s="18">
        <v>1</v>
      </c>
      <c r="M71" s="18">
        <v>1</v>
      </c>
      <c r="N71" s="18">
        <v>1</v>
      </c>
      <c r="O71" s="18">
        <v>1</v>
      </c>
      <c r="P71" s="118">
        <v>1</v>
      </c>
      <c r="Q71" s="130">
        <f t="shared" si="32"/>
        <v>13</v>
      </c>
      <c r="R71" s="64"/>
      <c r="S71" s="135">
        <f t="shared" si="31"/>
        <v>5.1020408163265302E-3</v>
      </c>
      <c r="T71" s="140"/>
      <c r="U71" s="50"/>
    </row>
    <row r="72" spans="2:21" ht="14" customHeight="1" thickTop="1" thickBot="1" x14ac:dyDescent="0.2">
      <c r="B72" s="27"/>
      <c r="C72" s="20" t="str">
        <f t="shared" ref="C72" si="33">+C63</f>
        <v>Total</v>
      </c>
      <c r="D72" s="32">
        <f t="shared" ref="D72:P72" si="34">+D65+D66+D67+D68+D69+D70+D71</f>
        <v>7</v>
      </c>
      <c r="E72" s="32">
        <f t="shared" si="34"/>
        <v>7</v>
      </c>
      <c r="F72" s="32">
        <f t="shared" si="34"/>
        <v>7</v>
      </c>
      <c r="G72" s="32">
        <f t="shared" si="34"/>
        <v>7</v>
      </c>
      <c r="H72" s="32">
        <f t="shared" si="34"/>
        <v>7</v>
      </c>
      <c r="I72" s="32">
        <f t="shared" si="34"/>
        <v>7</v>
      </c>
      <c r="J72" s="32">
        <f t="shared" si="34"/>
        <v>7</v>
      </c>
      <c r="K72" s="32">
        <f t="shared" si="34"/>
        <v>7</v>
      </c>
      <c r="L72" s="32">
        <f t="shared" si="34"/>
        <v>7</v>
      </c>
      <c r="M72" s="32">
        <f t="shared" si="34"/>
        <v>7</v>
      </c>
      <c r="N72" s="32">
        <f t="shared" si="34"/>
        <v>7</v>
      </c>
      <c r="O72" s="32">
        <f t="shared" si="34"/>
        <v>7</v>
      </c>
      <c r="P72" s="119">
        <f t="shared" si="34"/>
        <v>7</v>
      </c>
      <c r="Q72" s="116">
        <f>+SUM(D72:P72)</f>
        <v>91</v>
      </c>
      <c r="R72" s="66"/>
      <c r="S72" s="137" t="s">
        <v>1</v>
      </c>
      <c r="T72" s="138">
        <f t="shared" si="10"/>
        <v>3.5714285714285712E-2</v>
      </c>
      <c r="U72" s="52"/>
    </row>
    <row r="73" spans="2:21" ht="14" customHeight="1" thickTop="1" thickBot="1" x14ac:dyDescent="0.2">
      <c r="B73" s="566" t="s">
        <v>10</v>
      </c>
      <c r="C73" s="567"/>
      <c r="D73" s="567"/>
      <c r="E73" s="567"/>
      <c r="F73" s="567"/>
      <c r="G73" s="567"/>
      <c r="H73" s="567"/>
      <c r="I73" s="567"/>
      <c r="J73" s="567"/>
      <c r="K73" s="567"/>
      <c r="L73" s="567"/>
      <c r="M73" s="567"/>
      <c r="N73" s="567"/>
      <c r="O73" s="567"/>
      <c r="P73" s="568"/>
      <c r="Q73" s="569"/>
      <c r="R73" s="56"/>
      <c r="S73" s="552" t="s">
        <v>10</v>
      </c>
      <c r="T73" s="553"/>
      <c r="U73" s="49"/>
    </row>
    <row r="74" spans="2:21" ht="14" customHeight="1" thickTop="1" thickBot="1" x14ac:dyDescent="0.2">
      <c r="B74" s="10">
        <v>2</v>
      </c>
      <c r="C74" s="39" t="str">
        <f>C10</f>
        <v>Lundi</v>
      </c>
      <c r="D74" s="11" t="s">
        <v>1</v>
      </c>
      <c r="E74" s="11" t="s">
        <v>1</v>
      </c>
      <c r="F74" s="11" t="s">
        <v>1</v>
      </c>
      <c r="G74" s="11" t="s">
        <v>1</v>
      </c>
      <c r="H74" s="11" t="s">
        <v>1</v>
      </c>
      <c r="I74" s="11" t="s">
        <v>1</v>
      </c>
      <c r="J74" s="11" t="s">
        <v>1</v>
      </c>
      <c r="K74" s="11" t="s">
        <v>1</v>
      </c>
      <c r="L74" s="11" t="s">
        <v>1</v>
      </c>
      <c r="M74" s="11" t="s">
        <v>1</v>
      </c>
      <c r="N74" s="11" t="s">
        <v>1</v>
      </c>
      <c r="O74" s="11" t="s">
        <v>1</v>
      </c>
      <c r="P74" s="123" t="s">
        <v>1</v>
      </c>
      <c r="Q74" s="124" t="s">
        <v>1</v>
      </c>
      <c r="R74" s="57"/>
      <c r="S74" s="78" t="s">
        <v>1</v>
      </c>
      <c r="T74" s="12" t="s">
        <v>1</v>
      </c>
      <c r="U74" s="57"/>
    </row>
    <row r="75" spans="2:21" ht="14" customHeight="1" thickTop="1" x14ac:dyDescent="0.15">
      <c r="B75" s="13">
        <v>1</v>
      </c>
      <c r="C75" s="14" t="str">
        <f t="shared" ref="C75:C81" si="35">C65</f>
        <v>6 h à 9 h 30</v>
      </c>
      <c r="D75" s="15">
        <v>1</v>
      </c>
      <c r="E75" s="15">
        <v>1</v>
      </c>
      <c r="F75" s="15">
        <v>1</v>
      </c>
      <c r="G75" s="15">
        <v>1</v>
      </c>
      <c r="H75" s="15">
        <v>1</v>
      </c>
      <c r="I75" s="15">
        <v>1</v>
      </c>
      <c r="J75" s="15">
        <v>1</v>
      </c>
      <c r="K75" s="15">
        <v>1</v>
      </c>
      <c r="L75" s="15">
        <v>1</v>
      </c>
      <c r="M75" s="15">
        <v>1</v>
      </c>
      <c r="N75" s="15">
        <v>1</v>
      </c>
      <c r="O75" s="15">
        <v>1</v>
      </c>
      <c r="P75" s="15">
        <v>1</v>
      </c>
      <c r="Q75" s="129">
        <f>+SUM(D75:P75)</f>
        <v>13</v>
      </c>
      <c r="R75" s="64"/>
      <c r="S75" s="133">
        <f t="shared" ref="S75:S81" si="36">SUM(D75:P75)/$Q$267</f>
        <v>5.1020408163265302E-3</v>
      </c>
      <c r="T75" s="139"/>
      <c r="U75" s="50"/>
    </row>
    <row r="76" spans="2:21" ht="14" customHeight="1" x14ac:dyDescent="0.15">
      <c r="B76" s="16">
        <v>2</v>
      </c>
      <c r="C76" s="17" t="str">
        <f t="shared" si="35"/>
        <v>9 h 30 à 11 h 30</v>
      </c>
      <c r="D76" s="18">
        <v>1</v>
      </c>
      <c r="E76" s="18">
        <v>1</v>
      </c>
      <c r="F76" s="18">
        <v>1</v>
      </c>
      <c r="G76" s="18">
        <v>1</v>
      </c>
      <c r="H76" s="18">
        <v>1</v>
      </c>
      <c r="I76" s="18">
        <v>1</v>
      </c>
      <c r="J76" s="18">
        <v>1</v>
      </c>
      <c r="K76" s="18">
        <v>1</v>
      </c>
      <c r="L76" s="18">
        <v>1</v>
      </c>
      <c r="M76" s="18">
        <v>1</v>
      </c>
      <c r="N76" s="18">
        <v>1</v>
      </c>
      <c r="O76" s="18">
        <v>1</v>
      </c>
      <c r="P76" s="18">
        <v>1</v>
      </c>
      <c r="Q76" s="130">
        <f>+SUM(D76:P76)</f>
        <v>13</v>
      </c>
      <c r="R76" s="64"/>
      <c r="S76" s="135">
        <f t="shared" si="36"/>
        <v>5.1020408163265302E-3</v>
      </c>
      <c r="T76" s="140"/>
      <c r="U76" s="50"/>
    </row>
    <row r="77" spans="2:21" ht="14" customHeight="1" x14ac:dyDescent="0.15">
      <c r="B77" s="16">
        <v>3</v>
      </c>
      <c r="C77" s="17" t="str">
        <f t="shared" si="35"/>
        <v>11 h 30 à 14 h 30</v>
      </c>
      <c r="D77" s="18">
        <v>1</v>
      </c>
      <c r="E77" s="18">
        <v>1</v>
      </c>
      <c r="F77" s="18">
        <v>1</v>
      </c>
      <c r="G77" s="18">
        <v>1</v>
      </c>
      <c r="H77" s="18">
        <v>1</v>
      </c>
      <c r="I77" s="18">
        <v>1</v>
      </c>
      <c r="J77" s="18">
        <v>1</v>
      </c>
      <c r="K77" s="18">
        <v>1</v>
      </c>
      <c r="L77" s="18">
        <v>1</v>
      </c>
      <c r="M77" s="18">
        <v>1</v>
      </c>
      <c r="N77" s="18">
        <v>1</v>
      </c>
      <c r="O77" s="18">
        <v>1</v>
      </c>
      <c r="P77" s="18">
        <v>1</v>
      </c>
      <c r="Q77" s="130">
        <f t="shared" ref="Q77:Q81" si="37">+SUM(D77:P77)</f>
        <v>13</v>
      </c>
      <c r="R77" s="64"/>
      <c r="S77" s="135">
        <f t="shared" si="36"/>
        <v>5.1020408163265302E-3</v>
      </c>
      <c r="T77" s="140"/>
      <c r="U77" s="50"/>
    </row>
    <row r="78" spans="2:21" ht="14" customHeight="1" x14ac:dyDescent="0.15">
      <c r="B78" s="16">
        <v>4</v>
      </c>
      <c r="C78" s="17" t="str">
        <f t="shared" si="35"/>
        <v>14 h 30 à 17 h</v>
      </c>
      <c r="D78" s="18">
        <v>1</v>
      </c>
      <c r="E78" s="18">
        <v>1</v>
      </c>
      <c r="F78" s="18">
        <v>1</v>
      </c>
      <c r="G78" s="18">
        <v>1</v>
      </c>
      <c r="H78" s="18">
        <v>1</v>
      </c>
      <c r="I78" s="18">
        <v>1</v>
      </c>
      <c r="J78" s="18">
        <v>1</v>
      </c>
      <c r="K78" s="18">
        <v>1</v>
      </c>
      <c r="L78" s="18">
        <v>1</v>
      </c>
      <c r="M78" s="18">
        <v>1</v>
      </c>
      <c r="N78" s="18">
        <v>1</v>
      </c>
      <c r="O78" s="18">
        <v>1</v>
      </c>
      <c r="P78" s="18">
        <v>1</v>
      </c>
      <c r="Q78" s="130">
        <f t="shared" si="37"/>
        <v>13</v>
      </c>
      <c r="R78" s="64"/>
      <c r="S78" s="135">
        <f t="shared" si="36"/>
        <v>5.1020408163265302E-3</v>
      </c>
      <c r="T78" s="140"/>
      <c r="U78" s="50"/>
    </row>
    <row r="79" spans="2:21" ht="14" customHeight="1" x14ac:dyDescent="0.15">
      <c r="B79" s="16">
        <v>5</v>
      </c>
      <c r="C79" s="17" t="str">
        <f t="shared" si="35"/>
        <v>17 h à 19 h</v>
      </c>
      <c r="D79" s="18">
        <v>1</v>
      </c>
      <c r="E79" s="18">
        <v>1</v>
      </c>
      <c r="F79" s="18">
        <v>1</v>
      </c>
      <c r="G79" s="18">
        <v>1</v>
      </c>
      <c r="H79" s="18">
        <v>1</v>
      </c>
      <c r="I79" s="18">
        <v>1</v>
      </c>
      <c r="J79" s="18">
        <v>1</v>
      </c>
      <c r="K79" s="18">
        <v>1</v>
      </c>
      <c r="L79" s="18">
        <v>1</v>
      </c>
      <c r="M79" s="18">
        <v>1</v>
      </c>
      <c r="N79" s="18">
        <v>1</v>
      </c>
      <c r="O79" s="18">
        <v>1</v>
      </c>
      <c r="P79" s="18">
        <v>1</v>
      </c>
      <c r="Q79" s="130">
        <f t="shared" si="37"/>
        <v>13</v>
      </c>
      <c r="R79" s="64"/>
      <c r="S79" s="135">
        <f t="shared" si="36"/>
        <v>5.1020408163265302E-3</v>
      </c>
      <c r="T79" s="140"/>
      <c r="U79" s="50"/>
    </row>
    <row r="80" spans="2:21" ht="14" customHeight="1" x14ac:dyDescent="0.15">
      <c r="B80" s="16">
        <v>6</v>
      </c>
      <c r="C80" s="17" t="str">
        <f t="shared" si="35"/>
        <v>19 h à 23 h</v>
      </c>
      <c r="D80" s="18">
        <v>1</v>
      </c>
      <c r="E80" s="18">
        <v>1</v>
      </c>
      <c r="F80" s="18">
        <v>1</v>
      </c>
      <c r="G80" s="18">
        <v>1</v>
      </c>
      <c r="H80" s="18">
        <v>1</v>
      </c>
      <c r="I80" s="18">
        <v>1</v>
      </c>
      <c r="J80" s="18">
        <v>1</v>
      </c>
      <c r="K80" s="18">
        <v>1</v>
      </c>
      <c r="L80" s="18">
        <v>1</v>
      </c>
      <c r="M80" s="18">
        <v>1</v>
      </c>
      <c r="N80" s="18">
        <v>1</v>
      </c>
      <c r="O80" s="18">
        <v>1</v>
      </c>
      <c r="P80" s="18">
        <v>1</v>
      </c>
      <c r="Q80" s="130">
        <f t="shared" si="37"/>
        <v>13</v>
      </c>
      <c r="R80" s="64"/>
      <c r="S80" s="135">
        <f t="shared" si="36"/>
        <v>5.1020408163265302E-3</v>
      </c>
      <c r="T80" s="140"/>
      <c r="U80" s="50"/>
    </row>
    <row r="81" spans="2:22" ht="14" customHeight="1" x14ac:dyDescent="0.15">
      <c r="B81" s="16">
        <v>7</v>
      </c>
      <c r="C81" s="17" t="str">
        <f t="shared" si="35"/>
        <v>23 h à 6 h</v>
      </c>
      <c r="D81" s="18">
        <v>1</v>
      </c>
      <c r="E81" s="18">
        <v>1</v>
      </c>
      <c r="F81" s="18">
        <v>1</v>
      </c>
      <c r="G81" s="18">
        <v>1</v>
      </c>
      <c r="H81" s="18">
        <v>1</v>
      </c>
      <c r="I81" s="18">
        <v>1</v>
      </c>
      <c r="J81" s="18">
        <v>1</v>
      </c>
      <c r="K81" s="18">
        <v>1</v>
      </c>
      <c r="L81" s="18">
        <v>1</v>
      </c>
      <c r="M81" s="18">
        <v>1</v>
      </c>
      <c r="N81" s="18">
        <v>1</v>
      </c>
      <c r="O81" s="18">
        <v>1</v>
      </c>
      <c r="P81" s="18">
        <v>1</v>
      </c>
      <c r="Q81" s="130">
        <f t="shared" si="37"/>
        <v>13</v>
      </c>
      <c r="R81" s="64"/>
      <c r="S81" s="135">
        <f t="shared" si="36"/>
        <v>5.1020408163265302E-3</v>
      </c>
      <c r="T81" s="140"/>
      <c r="U81" s="50"/>
    </row>
    <row r="82" spans="2:22" ht="14" customHeight="1" thickBot="1" x14ac:dyDescent="0.2">
      <c r="B82" s="19"/>
      <c r="C82" s="40" t="str">
        <f>+C72</f>
        <v>Total</v>
      </c>
      <c r="D82" s="32">
        <f t="shared" ref="D82:P82" si="38">+D75+D76+D77+D78+D79+D80+D81</f>
        <v>7</v>
      </c>
      <c r="E82" s="32">
        <f t="shared" si="38"/>
        <v>7</v>
      </c>
      <c r="F82" s="32">
        <f t="shared" si="38"/>
        <v>7</v>
      </c>
      <c r="G82" s="32">
        <f t="shared" si="38"/>
        <v>7</v>
      </c>
      <c r="H82" s="32">
        <f t="shared" si="38"/>
        <v>7</v>
      </c>
      <c r="I82" s="32">
        <f t="shared" si="38"/>
        <v>7</v>
      </c>
      <c r="J82" s="32">
        <f t="shared" si="38"/>
        <v>7</v>
      </c>
      <c r="K82" s="32">
        <f t="shared" si="38"/>
        <v>7</v>
      </c>
      <c r="L82" s="32">
        <f t="shared" si="38"/>
        <v>7</v>
      </c>
      <c r="M82" s="32">
        <f t="shared" si="38"/>
        <v>7</v>
      </c>
      <c r="N82" s="32">
        <f t="shared" si="38"/>
        <v>7</v>
      </c>
      <c r="O82" s="32">
        <f t="shared" si="38"/>
        <v>7</v>
      </c>
      <c r="P82" s="32">
        <f t="shared" si="38"/>
        <v>7</v>
      </c>
      <c r="Q82" s="116">
        <f>+SUM(D82:P82)</f>
        <v>91</v>
      </c>
      <c r="R82" s="66"/>
      <c r="S82" s="137" t="s">
        <v>1</v>
      </c>
      <c r="T82" s="138">
        <f t="shared" si="10"/>
        <v>3.5714285714285712E-2</v>
      </c>
      <c r="U82" s="52"/>
    </row>
    <row r="83" spans="2:22" ht="14" customHeight="1" thickTop="1" thickBot="1" x14ac:dyDescent="0.2">
      <c r="B83" s="33" t="s">
        <v>1</v>
      </c>
      <c r="C83" s="37" t="str">
        <f>C19</f>
        <v>Mardi</v>
      </c>
      <c r="D83" s="25" t="s">
        <v>1</v>
      </c>
      <c r="E83" s="25" t="s">
        <v>1</v>
      </c>
      <c r="F83" s="25" t="s">
        <v>1</v>
      </c>
      <c r="G83" s="25" t="s">
        <v>1</v>
      </c>
      <c r="H83" s="25" t="s">
        <v>1</v>
      </c>
      <c r="I83" s="25" t="s">
        <v>1</v>
      </c>
      <c r="J83" s="25" t="s">
        <v>1</v>
      </c>
      <c r="K83" s="25" t="s">
        <v>1</v>
      </c>
      <c r="L83" s="25" t="s">
        <v>1</v>
      </c>
      <c r="M83" s="25" t="s">
        <v>1</v>
      </c>
      <c r="N83" s="25" t="s">
        <v>1</v>
      </c>
      <c r="O83" s="25" t="s">
        <v>1</v>
      </c>
      <c r="P83" s="120" t="s">
        <v>1</v>
      </c>
      <c r="Q83" s="26"/>
      <c r="R83" s="57"/>
      <c r="S83" s="23" t="s">
        <v>1</v>
      </c>
      <c r="T83" s="26" t="s">
        <v>1</v>
      </c>
      <c r="U83" s="57"/>
      <c r="V83" s="57" t="s">
        <v>1</v>
      </c>
    </row>
    <row r="84" spans="2:22" ht="14" customHeight="1" thickTop="1" thickBot="1" x14ac:dyDescent="0.2">
      <c r="B84" s="27">
        <v>1</v>
      </c>
      <c r="C84" s="14" t="str">
        <f t="shared" ref="C84:C90" si="39">C75</f>
        <v>6 h à 9 h 30</v>
      </c>
      <c r="D84" s="15">
        <v>1</v>
      </c>
      <c r="E84" s="15">
        <v>1</v>
      </c>
      <c r="F84" s="15">
        <v>1</v>
      </c>
      <c r="G84" s="15">
        <v>1</v>
      </c>
      <c r="H84" s="15">
        <v>1</v>
      </c>
      <c r="I84" s="15">
        <v>1</v>
      </c>
      <c r="J84" s="15">
        <v>1</v>
      </c>
      <c r="K84" s="15">
        <v>1</v>
      </c>
      <c r="L84" s="15">
        <v>1</v>
      </c>
      <c r="M84" s="15">
        <v>1</v>
      </c>
      <c r="N84" s="15">
        <v>1</v>
      </c>
      <c r="O84" s="15">
        <v>1</v>
      </c>
      <c r="P84" s="15">
        <v>1</v>
      </c>
      <c r="Q84" s="129">
        <f>+SUM(D84:P84)</f>
        <v>13</v>
      </c>
      <c r="R84" s="64"/>
      <c r="S84" s="133">
        <f t="shared" ref="S84:S90" si="40">SUM(D84:P84)/$Q$267</f>
        <v>5.1020408163265302E-3</v>
      </c>
      <c r="T84" s="139"/>
      <c r="U84" s="50"/>
    </row>
    <row r="85" spans="2:22" ht="14" customHeight="1" thickTop="1" thickBot="1" x14ac:dyDescent="0.2">
      <c r="B85" s="28">
        <v>2</v>
      </c>
      <c r="C85" s="17" t="str">
        <f t="shared" si="39"/>
        <v>9 h 30 à 11 h 30</v>
      </c>
      <c r="D85" s="18">
        <v>1</v>
      </c>
      <c r="E85" s="18">
        <v>1</v>
      </c>
      <c r="F85" s="18">
        <v>1</v>
      </c>
      <c r="G85" s="18">
        <v>1</v>
      </c>
      <c r="H85" s="18">
        <v>1</v>
      </c>
      <c r="I85" s="18">
        <v>1</v>
      </c>
      <c r="J85" s="18">
        <v>1</v>
      </c>
      <c r="K85" s="18">
        <v>1</v>
      </c>
      <c r="L85" s="18">
        <v>1</v>
      </c>
      <c r="M85" s="18">
        <v>1</v>
      </c>
      <c r="N85" s="18">
        <v>1</v>
      </c>
      <c r="O85" s="18">
        <v>1</v>
      </c>
      <c r="P85" s="18">
        <v>1</v>
      </c>
      <c r="Q85" s="130">
        <f>+SUM(D85:P85)</f>
        <v>13</v>
      </c>
      <c r="R85" s="64"/>
      <c r="S85" s="135">
        <f t="shared" si="40"/>
        <v>5.1020408163265302E-3</v>
      </c>
      <c r="T85" s="140"/>
      <c r="U85" s="50"/>
    </row>
    <row r="86" spans="2:22" ht="14" customHeight="1" thickTop="1" thickBot="1" x14ac:dyDescent="0.2">
      <c r="B86" s="28">
        <v>3</v>
      </c>
      <c r="C86" s="17" t="str">
        <f t="shared" si="39"/>
        <v>11 h 30 à 14 h 30</v>
      </c>
      <c r="D86" s="18">
        <v>1</v>
      </c>
      <c r="E86" s="18">
        <v>1</v>
      </c>
      <c r="F86" s="18">
        <v>1</v>
      </c>
      <c r="G86" s="18">
        <v>1</v>
      </c>
      <c r="H86" s="18">
        <v>1</v>
      </c>
      <c r="I86" s="18">
        <v>1</v>
      </c>
      <c r="J86" s="18">
        <v>1</v>
      </c>
      <c r="K86" s="18">
        <v>1</v>
      </c>
      <c r="L86" s="18">
        <v>1</v>
      </c>
      <c r="M86" s="18">
        <v>1</v>
      </c>
      <c r="N86" s="18">
        <v>1</v>
      </c>
      <c r="O86" s="18">
        <v>1</v>
      </c>
      <c r="P86" s="18">
        <v>1</v>
      </c>
      <c r="Q86" s="130">
        <f t="shared" ref="Q86:Q90" si="41">+SUM(D86:P86)</f>
        <v>13</v>
      </c>
      <c r="R86" s="64"/>
      <c r="S86" s="135">
        <f t="shared" si="40"/>
        <v>5.1020408163265302E-3</v>
      </c>
      <c r="T86" s="140"/>
      <c r="U86" s="50"/>
    </row>
    <row r="87" spans="2:22" ht="14" customHeight="1" thickTop="1" thickBot="1" x14ac:dyDescent="0.2">
      <c r="B87" s="28">
        <v>4</v>
      </c>
      <c r="C87" s="17" t="str">
        <f t="shared" si="39"/>
        <v>14 h 30 à 17 h</v>
      </c>
      <c r="D87" s="18">
        <v>1</v>
      </c>
      <c r="E87" s="18">
        <v>1</v>
      </c>
      <c r="F87" s="18">
        <v>1</v>
      </c>
      <c r="G87" s="18">
        <v>1</v>
      </c>
      <c r="H87" s="18">
        <v>1</v>
      </c>
      <c r="I87" s="18">
        <v>1</v>
      </c>
      <c r="J87" s="18">
        <v>1</v>
      </c>
      <c r="K87" s="18">
        <v>1</v>
      </c>
      <c r="L87" s="18">
        <v>1</v>
      </c>
      <c r="M87" s="18">
        <v>1</v>
      </c>
      <c r="N87" s="18">
        <v>1</v>
      </c>
      <c r="O87" s="18">
        <v>1</v>
      </c>
      <c r="P87" s="18">
        <v>1</v>
      </c>
      <c r="Q87" s="130">
        <f t="shared" si="41"/>
        <v>13</v>
      </c>
      <c r="R87" s="64"/>
      <c r="S87" s="135">
        <f t="shared" si="40"/>
        <v>5.1020408163265302E-3</v>
      </c>
      <c r="T87" s="140"/>
      <c r="U87" s="50"/>
    </row>
    <row r="88" spans="2:22" ht="14" customHeight="1" thickTop="1" thickBot="1" x14ac:dyDescent="0.2">
      <c r="B88" s="28">
        <v>5</v>
      </c>
      <c r="C88" s="17" t="str">
        <f t="shared" si="39"/>
        <v>17 h à 19 h</v>
      </c>
      <c r="D88" s="18">
        <v>1</v>
      </c>
      <c r="E88" s="18">
        <v>1</v>
      </c>
      <c r="F88" s="18">
        <v>1</v>
      </c>
      <c r="G88" s="18">
        <v>1</v>
      </c>
      <c r="H88" s="18">
        <v>1</v>
      </c>
      <c r="I88" s="18">
        <v>1</v>
      </c>
      <c r="J88" s="18">
        <v>1</v>
      </c>
      <c r="K88" s="18">
        <v>1</v>
      </c>
      <c r="L88" s="18">
        <v>1</v>
      </c>
      <c r="M88" s="18">
        <v>1</v>
      </c>
      <c r="N88" s="18">
        <v>1</v>
      </c>
      <c r="O88" s="18">
        <v>1</v>
      </c>
      <c r="P88" s="18">
        <v>1</v>
      </c>
      <c r="Q88" s="130">
        <f t="shared" si="41"/>
        <v>13</v>
      </c>
      <c r="R88" s="64"/>
      <c r="S88" s="135">
        <f t="shared" si="40"/>
        <v>5.1020408163265302E-3</v>
      </c>
      <c r="T88" s="140"/>
      <c r="U88" s="50"/>
    </row>
    <row r="89" spans="2:22" ht="14" customHeight="1" thickTop="1" thickBot="1" x14ac:dyDescent="0.2">
      <c r="B89" s="28">
        <v>6</v>
      </c>
      <c r="C89" s="17" t="str">
        <f t="shared" si="39"/>
        <v>19 h à 23 h</v>
      </c>
      <c r="D89" s="18">
        <v>1</v>
      </c>
      <c r="E89" s="18">
        <v>1</v>
      </c>
      <c r="F89" s="18">
        <v>1</v>
      </c>
      <c r="G89" s="18">
        <v>1</v>
      </c>
      <c r="H89" s="18">
        <v>1</v>
      </c>
      <c r="I89" s="18">
        <v>1</v>
      </c>
      <c r="J89" s="18">
        <v>1</v>
      </c>
      <c r="K89" s="18">
        <v>1</v>
      </c>
      <c r="L89" s="18">
        <v>1</v>
      </c>
      <c r="M89" s="18">
        <v>1</v>
      </c>
      <c r="N89" s="18">
        <v>1</v>
      </c>
      <c r="O89" s="18">
        <v>1</v>
      </c>
      <c r="P89" s="18">
        <v>1</v>
      </c>
      <c r="Q89" s="130">
        <f t="shared" si="41"/>
        <v>13</v>
      </c>
      <c r="R89" s="64"/>
      <c r="S89" s="135">
        <f t="shared" si="40"/>
        <v>5.1020408163265302E-3</v>
      </c>
      <c r="T89" s="140"/>
      <c r="U89" s="50"/>
    </row>
    <row r="90" spans="2:22" ht="14" customHeight="1" thickTop="1" thickBot="1" x14ac:dyDescent="0.2">
      <c r="B90" s="28">
        <v>7</v>
      </c>
      <c r="C90" s="17" t="str">
        <f t="shared" si="39"/>
        <v>23 h à 6 h</v>
      </c>
      <c r="D90" s="18">
        <v>1</v>
      </c>
      <c r="E90" s="18">
        <v>1</v>
      </c>
      <c r="F90" s="18">
        <v>1</v>
      </c>
      <c r="G90" s="18">
        <v>1</v>
      </c>
      <c r="H90" s="18">
        <v>1</v>
      </c>
      <c r="I90" s="18">
        <v>1</v>
      </c>
      <c r="J90" s="18">
        <v>1</v>
      </c>
      <c r="K90" s="18">
        <v>1</v>
      </c>
      <c r="L90" s="18">
        <v>1</v>
      </c>
      <c r="M90" s="18">
        <v>1</v>
      </c>
      <c r="N90" s="18">
        <v>1</v>
      </c>
      <c r="O90" s="18">
        <v>1</v>
      </c>
      <c r="P90" s="18">
        <v>1</v>
      </c>
      <c r="Q90" s="130">
        <f t="shared" si="41"/>
        <v>13</v>
      </c>
      <c r="R90" s="64"/>
      <c r="S90" s="135">
        <f t="shared" si="40"/>
        <v>5.1020408163265302E-3</v>
      </c>
      <c r="T90" s="140"/>
      <c r="U90" s="50"/>
    </row>
    <row r="91" spans="2:22" ht="14" customHeight="1" thickTop="1" thickBot="1" x14ac:dyDescent="0.2">
      <c r="B91" s="29"/>
      <c r="C91" s="30" t="str">
        <f t="shared" ref="C91" si="42">+C82</f>
        <v>Total</v>
      </c>
      <c r="D91" s="32">
        <f t="shared" ref="D91:P91" si="43">+D84+D85+D86+D87+D88+D89+D90</f>
        <v>7</v>
      </c>
      <c r="E91" s="32">
        <f t="shared" si="43"/>
        <v>7</v>
      </c>
      <c r="F91" s="32">
        <f t="shared" si="43"/>
        <v>7</v>
      </c>
      <c r="G91" s="32">
        <f t="shared" si="43"/>
        <v>7</v>
      </c>
      <c r="H91" s="32">
        <f t="shared" si="43"/>
        <v>7</v>
      </c>
      <c r="I91" s="32">
        <f t="shared" si="43"/>
        <v>7</v>
      </c>
      <c r="J91" s="32">
        <f t="shared" si="43"/>
        <v>7</v>
      </c>
      <c r="K91" s="32">
        <f t="shared" si="43"/>
        <v>7</v>
      </c>
      <c r="L91" s="32">
        <f t="shared" si="43"/>
        <v>7</v>
      </c>
      <c r="M91" s="32">
        <f t="shared" si="43"/>
        <v>7</v>
      </c>
      <c r="N91" s="32">
        <f t="shared" si="43"/>
        <v>7</v>
      </c>
      <c r="O91" s="32">
        <f t="shared" si="43"/>
        <v>7</v>
      </c>
      <c r="P91" s="32">
        <f t="shared" si="43"/>
        <v>7</v>
      </c>
      <c r="Q91" s="116">
        <f>+SUM(D91:P91)</f>
        <v>91</v>
      </c>
      <c r="R91" s="66"/>
      <c r="S91" s="137" t="s">
        <v>1</v>
      </c>
      <c r="T91" s="138">
        <f t="shared" ref="T91:T146" si="44">SUM(S84:S90)</f>
        <v>3.5714285714285712E-2</v>
      </c>
      <c r="U91" s="52"/>
    </row>
    <row r="92" spans="2:22" ht="14" customHeight="1" thickTop="1" thickBot="1" x14ac:dyDescent="0.2">
      <c r="B92" s="33" t="s">
        <v>1</v>
      </c>
      <c r="C92" s="34" t="str">
        <f>C28</f>
        <v>Mercredi</v>
      </c>
      <c r="D92" s="25" t="s">
        <v>1</v>
      </c>
      <c r="E92" s="25" t="s">
        <v>1</v>
      </c>
      <c r="F92" s="25" t="s">
        <v>1</v>
      </c>
      <c r="G92" s="25" t="s">
        <v>1</v>
      </c>
      <c r="H92" s="25" t="s">
        <v>1</v>
      </c>
      <c r="I92" s="25" t="s">
        <v>1</v>
      </c>
      <c r="J92" s="25" t="s">
        <v>1</v>
      </c>
      <c r="K92" s="25" t="s">
        <v>1</v>
      </c>
      <c r="L92" s="25" t="s">
        <v>1</v>
      </c>
      <c r="M92" s="25" t="s">
        <v>1</v>
      </c>
      <c r="N92" s="25" t="s">
        <v>1</v>
      </c>
      <c r="O92" s="25" t="s">
        <v>1</v>
      </c>
      <c r="P92" s="120" t="s">
        <v>1</v>
      </c>
      <c r="Q92" s="121"/>
      <c r="R92" s="57"/>
      <c r="S92" s="23" t="s">
        <v>1</v>
      </c>
      <c r="T92" s="26" t="s">
        <v>1</v>
      </c>
      <c r="U92" s="57"/>
    </row>
    <row r="93" spans="2:22" ht="14" customHeight="1" thickTop="1" thickBot="1" x14ac:dyDescent="0.2">
      <c r="B93" s="27">
        <v>1</v>
      </c>
      <c r="C93" s="14" t="str">
        <f t="shared" ref="C93:C99" si="45">C84</f>
        <v>6 h à 9 h 30</v>
      </c>
      <c r="D93" s="15">
        <v>1</v>
      </c>
      <c r="E93" s="15">
        <v>1</v>
      </c>
      <c r="F93" s="15">
        <v>1</v>
      </c>
      <c r="G93" s="15">
        <v>1</v>
      </c>
      <c r="H93" s="15">
        <v>1</v>
      </c>
      <c r="I93" s="15">
        <v>1</v>
      </c>
      <c r="J93" s="15">
        <v>1</v>
      </c>
      <c r="K93" s="15">
        <v>1</v>
      </c>
      <c r="L93" s="15">
        <v>1</v>
      </c>
      <c r="M93" s="15">
        <v>1</v>
      </c>
      <c r="N93" s="15">
        <v>1</v>
      </c>
      <c r="O93" s="15">
        <v>1</v>
      </c>
      <c r="P93" s="15">
        <v>1</v>
      </c>
      <c r="Q93" s="129">
        <f>+SUM(D93:P93)</f>
        <v>13</v>
      </c>
      <c r="R93" s="64"/>
      <c r="S93" s="133">
        <f t="shared" ref="S93:S99" si="46">SUM(D93:P93)/$Q$267</f>
        <v>5.1020408163265302E-3</v>
      </c>
      <c r="T93" s="139"/>
      <c r="U93" s="50"/>
    </row>
    <row r="94" spans="2:22" ht="14" customHeight="1" thickTop="1" thickBot="1" x14ac:dyDescent="0.2">
      <c r="B94" s="28">
        <v>2</v>
      </c>
      <c r="C94" s="17" t="str">
        <f t="shared" si="45"/>
        <v>9 h 30 à 11 h 30</v>
      </c>
      <c r="D94" s="18">
        <v>1</v>
      </c>
      <c r="E94" s="18">
        <v>1</v>
      </c>
      <c r="F94" s="18">
        <v>1</v>
      </c>
      <c r="G94" s="18">
        <v>1</v>
      </c>
      <c r="H94" s="18">
        <v>1</v>
      </c>
      <c r="I94" s="18">
        <v>1</v>
      </c>
      <c r="J94" s="18">
        <v>1</v>
      </c>
      <c r="K94" s="18">
        <v>1</v>
      </c>
      <c r="L94" s="18">
        <v>1</v>
      </c>
      <c r="M94" s="18">
        <v>1</v>
      </c>
      <c r="N94" s="18">
        <v>1</v>
      </c>
      <c r="O94" s="18">
        <v>1</v>
      </c>
      <c r="P94" s="18">
        <v>1</v>
      </c>
      <c r="Q94" s="130">
        <f>+SUM(D94:P94)</f>
        <v>13</v>
      </c>
      <c r="R94" s="64"/>
      <c r="S94" s="135">
        <f t="shared" si="46"/>
        <v>5.1020408163265302E-3</v>
      </c>
      <c r="T94" s="140"/>
      <c r="U94" s="50"/>
    </row>
    <row r="95" spans="2:22" ht="14" customHeight="1" thickTop="1" thickBot="1" x14ac:dyDescent="0.2">
      <c r="B95" s="28">
        <v>3</v>
      </c>
      <c r="C95" s="17" t="str">
        <f t="shared" si="45"/>
        <v>11 h 30 à 14 h 30</v>
      </c>
      <c r="D95" s="18">
        <v>1</v>
      </c>
      <c r="E95" s="18">
        <v>1</v>
      </c>
      <c r="F95" s="18">
        <v>1</v>
      </c>
      <c r="G95" s="18">
        <v>1</v>
      </c>
      <c r="H95" s="18">
        <v>1</v>
      </c>
      <c r="I95" s="18">
        <v>1</v>
      </c>
      <c r="J95" s="18">
        <v>1</v>
      </c>
      <c r="K95" s="18">
        <v>1</v>
      </c>
      <c r="L95" s="18">
        <v>1</v>
      </c>
      <c r="M95" s="18">
        <v>1</v>
      </c>
      <c r="N95" s="18">
        <v>1</v>
      </c>
      <c r="O95" s="18">
        <v>1</v>
      </c>
      <c r="P95" s="18">
        <v>1</v>
      </c>
      <c r="Q95" s="130">
        <f t="shared" ref="Q95:Q99" si="47">+SUM(D95:P95)</f>
        <v>13</v>
      </c>
      <c r="R95" s="64"/>
      <c r="S95" s="135">
        <f t="shared" si="46"/>
        <v>5.1020408163265302E-3</v>
      </c>
      <c r="T95" s="140"/>
      <c r="U95" s="50"/>
    </row>
    <row r="96" spans="2:22" ht="14" customHeight="1" thickTop="1" thickBot="1" x14ac:dyDescent="0.2">
      <c r="B96" s="28">
        <v>4</v>
      </c>
      <c r="C96" s="17" t="str">
        <f t="shared" si="45"/>
        <v>14 h 30 à 17 h</v>
      </c>
      <c r="D96" s="18">
        <v>1</v>
      </c>
      <c r="E96" s="18">
        <v>1</v>
      </c>
      <c r="F96" s="18">
        <v>1</v>
      </c>
      <c r="G96" s="18">
        <v>1</v>
      </c>
      <c r="H96" s="18">
        <v>1</v>
      </c>
      <c r="I96" s="18">
        <v>1</v>
      </c>
      <c r="J96" s="18">
        <v>1</v>
      </c>
      <c r="K96" s="18">
        <v>1</v>
      </c>
      <c r="L96" s="18">
        <v>1</v>
      </c>
      <c r="M96" s="18">
        <v>1</v>
      </c>
      <c r="N96" s="18">
        <v>1</v>
      </c>
      <c r="O96" s="18">
        <v>1</v>
      </c>
      <c r="P96" s="18">
        <v>1</v>
      </c>
      <c r="Q96" s="130">
        <f t="shared" si="47"/>
        <v>13</v>
      </c>
      <c r="R96" s="64"/>
      <c r="S96" s="135">
        <f t="shared" si="46"/>
        <v>5.1020408163265302E-3</v>
      </c>
      <c r="T96" s="140"/>
      <c r="U96" s="50"/>
    </row>
    <row r="97" spans="2:24" ht="14" customHeight="1" thickTop="1" thickBot="1" x14ac:dyDescent="0.2">
      <c r="B97" s="28">
        <v>5</v>
      </c>
      <c r="C97" s="17" t="str">
        <f t="shared" si="45"/>
        <v>17 h à 19 h</v>
      </c>
      <c r="D97" s="18">
        <v>1</v>
      </c>
      <c r="E97" s="18">
        <v>1</v>
      </c>
      <c r="F97" s="18">
        <v>1</v>
      </c>
      <c r="G97" s="18">
        <v>1</v>
      </c>
      <c r="H97" s="18">
        <v>1</v>
      </c>
      <c r="I97" s="18">
        <v>1</v>
      </c>
      <c r="J97" s="18">
        <v>1</v>
      </c>
      <c r="K97" s="18">
        <v>1</v>
      </c>
      <c r="L97" s="18">
        <v>1</v>
      </c>
      <c r="M97" s="18">
        <v>1</v>
      </c>
      <c r="N97" s="18">
        <v>1</v>
      </c>
      <c r="O97" s="18">
        <v>1</v>
      </c>
      <c r="P97" s="18">
        <v>1</v>
      </c>
      <c r="Q97" s="130">
        <f t="shared" si="47"/>
        <v>13</v>
      </c>
      <c r="R97" s="64"/>
      <c r="S97" s="135">
        <f t="shared" si="46"/>
        <v>5.1020408163265302E-3</v>
      </c>
      <c r="T97" s="140"/>
      <c r="U97" s="50"/>
    </row>
    <row r="98" spans="2:24" ht="14" customHeight="1" thickTop="1" thickBot="1" x14ac:dyDescent="0.2">
      <c r="B98" s="28">
        <v>6</v>
      </c>
      <c r="C98" s="17" t="str">
        <f t="shared" si="45"/>
        <v>19 h à 23 h</v>
      </c>
      <c r="D98" s="18">
        <v>1</v>
      </c>
      <c r="E98" s="18">
        <v>1</v>
      </c>
      <c r="F98" s="18">
        <v>1</v>
      </c>
      <c r="G98" s="18">
        <v>1</v>
      </c>
      <c r="H98" s="18">
        <v>1</v>
      </c>
      <c r="I98" s="18">
        <v>1</v>
      </c>
      <c r="J98" s="18">
        <v>1</v>
      </c>
      <c r="K98" s="18">
        <v>1</v>
      </c>
      <c r="L98" s="18">
        <v>1</v>
      </c>
      <c r="M98" s="18">
        <v>1</v>
      </c>
      <c r="N98" s="18">
        <v>1</v>
      </c>
      <c r="O98" s="18">
        <v>1</v>
      </c>
      <c r="P98" s="18">
        <v>1</v>
      </c>
      <c r="Q98" s="130">
        <f t="shared" si="47"/>
        <v>13</v>
      </c>
      <c r="R98" s="64"/>
      <c r="S98" s="135">
        <f t="shared" si="46"/>
        <v>5.1020408163265302E-3</v>
      </c>
      <c r="T98" s="140"/>
      <c r="U98" s="50"/>
    </row>
    <row r="99" spans="2:24" ht="14" customHeight="1" thickTop="1" thickBot="1" x14ac:dyDescent="0.2">
      <c r="B99" s="28">
        <v>7</v>
      </c>
      <c r="C99" s="17" t="str">
        <f t="shared" si="45"/>
        <v>23 h à 6 h</v>
      </c>
      <c r="D99" s="18">
        <v>1</v>
      </c>
      <c r="E99" s="18">
        <v>1</v>
      </c>
      <c r="F99" s="18">
        <v>1</v>
      </c>
      <c r="G99" s="18">
        <v>1</v>
      </c>
      <c r="H99" s="18">
        <v>1</v>
      </c>
      <c r="I99" s="18">
        <v>1</v>
      </c>
      <c r="J99" s="18">
        <v>1</v>
      </c>
      <c r="K99" s="18">
        <v>1</v>
      </c>
      <c r="L99" s="18">
        <v>1</v>
      </c>
      <c r="M99" s="18">
        <v>1</v>
      </c>
      <c r="N99" s="18">
        <v>1</v>
      </c>
      <c r="O99" s="18">
        <v>1</v>
      </c>
      <c r="P99" s="18">
        <v>1</v>
      </c>
      <c r="Q99" s="130">
        <f t="shared" si="47"/>
        <v>13</v>
      </c>
      <c r="R99" s="64"/>
      <c r="S99" s="135">
        <f t="shared" si="46"/>
        <v>5.1020408163265302E-3</v>
      </c>
      <c r="T99" s="140"/>
      <c r="U99" s="50"/>
    </row>
    <row r="100" spans="2:24" ht="14" customHeight="1" thickTop="1" thickBot="1" x14ac:dyDescent="0.2">
      <c r="B100" s="29"/>
      <c r="C100" s="36" t="str">
        <f t="shared" ref="C100" si="48">+C82</f>
        <v>Total</v>
      </c>
      <c r="D100" s="32">
        <f t="shared" ref="D100:P100" si="49">+D93+D94+D95+D96+D97+D98+D99</f>
        <v>7</v>
      </c>
      <c r="E100" s="32">
        <f t="shared" si="49"/>
        <v>7</v>
      </c>
      <c r="F100" s="32">
        <f t="shared" si="49"/>
        <v>7</v>
      </c>
      <c r="G100" s="32">
        <f t="shared" si="49"/>
        <v>7</v>
      </c>
      <c r="H100" s="32">
        <f t="shared" si="49"/>
        <v>7</v>
      </c>
      <c r="I100" s="32">
        <f t="shared" si="49"/>
        <v>7</v>
      </c>
      <c r="J100" s="32">
        <f t="shared" si="49"/>
        <v>7</v>
      </c>
      <c r="K100" s="32">
        <f t="shared" si="49"/>
        <v>7</v>
      </c>
      <c r="L100" s="32">
        <f t="shared" si="49"/>
        <v>7</v>
      </c>
      <c r="M100" s="32">
        <f t="shared" si="49"/>
        <v>7</v>
      </c>
      <c r="N100" s="32">
        <f t="shared" si="49"/>
        <v>7</v>
      </c>
      <c r="O100" s="32">
        <f t="shared" si="49"/>
        <v>7</v>
      </c>
      <c r="P100" s="32">
        <f t="shared" si="49"/>
        <v>7</v>
      </c>
      <c r="Q100" s="116">
        <f>+SUM(D100:P100)</f>
        <v>91</v>
      </c>
      <c r="R100" s="66"/>
      <c r="S100" s="137" t="s">
        <v>1</v>
      </c>
      <c r="T100" s="138">
        <f t="shared" si="44"/>
        <v>3.5714285714285712E-2</v>
      </c>
      <c r="U100" s="52"/>
    </row>
    <row r="101" spans="2:24" ht="14" customHeight="1" thickTop="1" thickBot="1" x14ac:dyDescent="0.2">
      <c r="B101" s="33" t="s">
        <v>1</v>
      </c>
      <c r="C101" s="37" t="str">
        <f>C37</f>
        <v>Jeudi</v>
      </c>
      <c r="D101" s="25" t="s">
        <v>1</v>
      </c>
      <c r="E101" s="25" t="s">
        <v>1</v>
      </c>
      <c r="F101" s="25" t="s">
        <v>1</v>
      </c>
      <c r="G101" s="25" t="s">
        <v>1</v>
      </c>
      <c r="H101" s="25" t="s">
        <v>1</v>
      </c>
      <c r="I101" s="25" t="s">
        <v>1</v>
      </c>
      <c r="J101" s="25" t="s">
        <v>1</v>
      </c>
      <c r="K101" s="25" t="s">
        <v>1</v>
      </c>
      <c r="L101" s="25" t="s">
        <v>1</v>
      </c>
      <c r="M101" s="25" t="s">
        <v>1</v>
      </c>
      <c r="N101" s="25" t="s">
        <v>1</v>
      </c>
      <c r="O101" s="25" t="s">
        <v>1</v>
      </c>
      <c r="P101" s="120" t="s">
        <v>1</v>
      </c>
      <c r="Q101" s="121"/>
      <c r="R101" s="57"/>
      <c r="S101" s="23" t="s">
        <v>1</v>
      </c>
      <c r="T101" s="26" t="s">
        <v>1</v>
      </c>
      <c r="U101" s="57"/>
    </row>
    <row r="102" spans="2:24" ht="14" customHeight="1" thickTop="1" thickBot="1" x14ac:dyDescent="0.2">
      <c r="B102" s="27">
        <v>1</v>
      </c>
      <c r="C102" s="14" t="str">
        <f t="shared" ref="C102:C108" si="50">C93</f>
        <v>6 h à 9 h 30</v>
      </c>
      <c r="D102" s="15">
        <v>1</v>
      </c>
      <c r="E102" s="15">
        <v>1</v>
      </c>
      <c r="F102" s="15">
        <v>1</v>
      </c>
      <c r="G102" s="15">
        <v>1</v>
      </c>
      <c r="H102" s="15">
        <v>1</v>
      </c>
      <c r="I102" s="15">
        <v>1</v>
      </c>
      <c r="J102" s="15">
        <v>1</v>
      </c>
      <c r="K102" s="15">
        <v>1</v>
      </c>
      <c r="L102" s="15">
        <v>1</v>
      </c>
      <c r="M102" s="15">
        <v>1</v>
      </c>
      <c r="N102" s="15">
        <v>1</v>
      </c>
      <c r="O102" s="15">
        <v>1</v>
      </c>
      <c r="P102" s="15">
        <v>1</v>
      </c>
      <c r="Q102" s="129">
        <f>+SUM(D102:P102)</f>
        <v>13</v>
      </c>
      <c r="R102" s="64"/>
      <c r="S102" s="133">
        <f t="shared" ref="S102:S108" si="51">SUM(D102:P102)/$Q$267</f>
        <v>5.1020408163265302E-3</v>
      </c>
      <c r="T102" s="139"/>
      <c r="U102" s="50"/>
    </row>
    <row r="103" spans="2:24" ht="14" customHeight="1" thickTop="1" thickBot="1" x14ac:dyDescent="0.2">
      <c r="B103" s="28">
        <v>2</v>
      </c>
      <c r="C103" s="17" t="str">
        <f t="shared" si="50"/>
        <v>9 h 30 à 11 h 30</v>
      </c>
      <c r="D103" s="18">
        <v>1</v>
      </c>
      <c r="E103" s="18">
        <v>1</v>
      </c>
      <c r="F103" s="18">
        <v>1</v>
      </c>
      <c r="G103" s="18">
        <v>1</v>
      </c>
      <c r="H103" s="18">
        <v>1</v>
      </c>
      <c r="I103" s="18">
        <v>1</v>
      </c>
      <c r="J103" s="18">
        <v>1</v>
      </c>
      <c r="K103" s="18">
        <v>1</v>
      </c>
      <c r="L103" s="18">
        <v>1</v>
      </c>
      <c r="M103" s="18">
        <v>1</v>
      </c>
      <c r="N103" s="18">
        <v>1</v>
      </c>
      <c r="O103" s="18">
        <v>1</v>
      </c>
      <c r="P103" s="18">
        <v>1</v>
      </c>
      <c r="Q103" s="130">
        <f>+SUM(D103:P103)</f>
        <v>13</v>
      </c>
      <c r="R103" s="64"/>
      <c r="S103" s="135">
        <f t="shared" si="51"/>
        <v>5.1020408163265302E-3</v>
      </c>
      <c r="T103" s="140"/>
      <c r="U103" s="50"/>
    </row>
    <row r="104" spans="2:24" ht="14" customHeight="1" thickTop="1" thickBot="1" x14ac:dyDescent="0.2">
      <c r="B104" s="28">
        <v>3</v>
      </c>
      <c r="C104" s="17" t="str">
        <f t="shared" si="50"/>
        <v>11 h 30 à 14 h 30</v>
      </c>
      <c r="D104" s="18">
        <v>1</v>
      </c>
      <c r="E104" s="18">
        <v>1</v>
      </c>
      <c r="F104" s="18">
        <v>1</v>
      </c>
      <c r="G104" s="18">
        <v>1</v>
      </c>
      <c r="H104" s="18">
        <v>1</v>
      </c>
      <c r="I104" s="18">
        <v>1</v>
      </c>
      <c r="J104" s="18">
        <v>1</v>
      </c>
      <c r="K104" s="18">
        <v>1</v>
      </c>
      <c r="L104" s="18">
        <v>1</v>
      </c>
      <c r="M104" s="18">
        <v>1</v>
      </c>
      <c r="N104" s="18">
        <v>1</v>
      </c>
      <c r="O104" s="18">
        <v>1</v>
      </c>
      <c r="P104" s="18">
        <v>1</v>
      </c>
      <c r="Q104" s="130">
        <f t="shared" ref="Q104:Q108" si="52">+SUM(D104:P104)</f>
        <v>13</v>
      </c>
      <c r="R104" s="64"/>
      <c r="S104" s="135">
        <f t="shared" si="51"/>
        <v>5.1020408163265302E-3</v>
      </c>
      <c r="T104" s="140"/>
      <c r="U104" s="50"/>
    </row>
    <row r="105" spans="2:24" ht="14" customHeight="1" thickTop="1" thickBot="1" x14ac:dyDescent="0.2">
      <c r="B105" s="28">
        <v>4</v>
      </c>
      <c r="C105" s="17" t="str">
        <f t="shared" si="50"/>
        <v>14 h 30 à 17 h</v>
      </c>
      <c r="D105" s="18">
        <v>1</v>
      </c>
      <c r="E105" s="18">
        <v>1</v>
      </c>
      <c r="F105" s="18">
        <v>1</v>
      </c>
      <c r="G105" s="18">
        <v>1</v>
      </c>
      <c r="H105" s="18">
        <v>1</v>
      </c>
      <c r="I105" s="18">
        <v>1</v>
      </c>
      <c r="J105" s="18">
        <v>1</v>
      </c>
      <c r="K105" s="18">
        <v>1</v>
      </c>
      <c r="L105" s="18">
        <v>1</v>
      </c>
      <c r="M105" s="18">
        <v>1</v>
      </c>
      <c r="N105" s="18">
        <v>1</v>
      </c>
      <c r="O105" s="18">
        <v>1</v>
      </c>
      <c r="P105" s="18">
        <v>1</v>
      </c>
      <c r="Q105" s="130">
        <f t="shared" si="52"/>
        <v>13</v>
      </c>
      <c r="R105" s="64"/>
      <c r="S105" s="135">
        <f t="shared" si="51"/>
        <v>5.1020408163265302E-3</v>
      </c>
      <c r="T105" s="140"/>
      <c r="U105" s="50"/>
    </row>
    <row r="106" spans="2:24" ht="14" customHeight="1" thickTop="1" thickBot="1" x14ac:dyDescent="0.2">
      <c r="B106" s="28">
        <v>5</v>
      </c>
      <c r="C106" s="17" t="str">
        <f t="shared" si="50"/>
        <v>17 h à 19 h</v>
      </c>
      <c r="D106" s="18">
        <v>1</v>
      </c>
      <c r="E106" s="18">
        <v>1</v>
      </c>
      <c r="F106" s="18">
        <v>1</v>
      </c>
      <c r="G106" s="18">
        <v>1</v>
      </c>
      <c r="H106" s="18">
        <v>1</v>
      </c>
      <c r="I106" s="18">
        <v>1</v>
      </c>
      <c r="J106" s="18">
        <v>1</v>
      </c>
      <c r="K106" s="18">
        <v>1</v>
      </c>
      <c r="L106" s="18">
        <v>1</v>
      </c>
      <c r="M106" s="18">
        <v>1</v>
      </c>
      <c r="N106" s="18">
        <v>1</v>
      </c>
      <c r="O106" s="18">
        <v>1</v>
      </c>
      <c r="P106" s="18">
        <v>1</v>
      </c>
      <c r="Q106" s="130">
        <f t="shared" si="52"/>
        <v>13</v>
      </c>
      <c r="R106" s="64"/>
      <c r="S106" s="135">
        <f t="shared" si="51"/>
        <v>5.1020408163265302E-3</v>
      </c>
      <c r="T106" s="140"/>
      <c r="U106" s="50"/>
    </row>
    <row r="107" spans="2:24" ht="14" customHeight="1" thickTop="1" thickBot="1" x14ac:dyDescent="0.2">
      <c r="B107" s="28">
        <v>6</v>
      </c>
      <c r="C107" s="17" t="str">
        <f t="shared" si="50"/>
        <v>19 h à 23 h</v>
      </c>
      <c r="D107" s="18">
        <v>1</v>
      </c>
      <c r="E107" s="18">
        <v>1</v>
      </c>
      <c r="F107" s="18">
        <v>1</v>
      </c>
      <c r="G107" s="18">
        <v>1</v>
      </c>
      <c r="H107" s="18">
        <v>1</v>
      </c>
      <c r="I107" s="18">
        <v>1</v>
      </c>
      <c r="J107" s="18">
        <v>1</v>
      </c>
      <c r="K107" s="18">
        <v>1</v>
      </c>
      <c r="L107" s="18">
        <v>1</v>
      </c>
      <c r="M107" s="18">
        <v>1</v>
      </c>
      <c r="N107" s="18">
        <v>1</v>
      </c>
      <c r="O107" s="18">
        <v>1</v>
      </c>
      <c r="P107" s="18">
        <v>1</v>
      </c>
      <c r="Q107" s="130">
        <f t="shared" si="52"/>
        <v>13</v>
      </c>
      <c r="R107" s="64"/>
      <c r="S107" s="135">
        <f t="shared" si="51"/>
        <v>5.1020408163265302E-3</v>
      </c>
      <c r="T107" s="140"/>
      <c r="U107" s="50"/>
    </row>
    <row r="108" spans="2:24" ht="14" customHeight="1" thickTop="1" thickBot="1" x14ac:dyDescent="0.2">
      <c r="B108" s="28">
        <v>7</v>
      </c>
      <c r="C108" s="17" t="str">
        <f t="shared" si="50"/>
        <v>23 h à 6 h</v>
      </c>
      <c r="D108" s="18">
        <v>1</v>
      </c>
      <c r="E108" s="18">
        <v>1</v>
      </c>
      <c r="F108" s="18">
        <v>1</v>
      </c>
      <c r="G108" s="18">
        <v>1</v>
      </c>
      <c r="H108" s="18">
        <v>1</v>
      </c>
      <c r="I108" s="18">
        <v>1</v>
      </c>
      <c r="J108" s="18">
        <v>1</v>
      </c>
      <c r="K108" s="18">
        <v>1</v>
      </c>
      <c r="L108" s="18">
        <v>1</v>
      </c>
      <c r="M108" s="18">
        <v>1</v>
      </c>
      <c r="N108" s="18">
        <v>1</v>
      </c>
      <c r="O108" s="18">
        <v>1</v>
      </c>
      <c r="P108" s="18">
        <v>1</v>
      </c>
      <c r="Q108" s="130">
        <f t="shared" si="52"/>
        <v>13</v>
      </c>
      <c r="R108" s="64"/>
      <c r="S108" s="135">
        <f t="shared" si="51"/>
        <v>5.1020408163265302E-3</v>
      </c>
      <c r="T108" s="140"/>
      <c r="U108" s="50"/>
    </row>
    <row r="109" spans="2:24" ht="14" customHeight="1" thickTop="1" thickBot="1" x14ac:dyDescent="0.2">
      <c r="B109" s="29"/>
      <c r="C109" s="30" t="str">
        <f>+C100</f>
        <v>Total</v>
      </c>
      <c r="D109" s="32">
        <f t="shared" ref="D109:P109" si="53">+D102+D103+D104+D105+D106+D107+D108</f>
        <v>7</v>
      </c>
      <c r="E109" s="32">
        <f t="shared" si="53"/>
        <v>7</v>
      </c>
      <c r="F109" s="32">
        <f t="shared" si="53"/>
        <v>7</v>
      </c>
      <c r="G109" s="32">
        <f t="shared" si="53"/>
        <v>7</v>
      </c>
      <c r="H109" s="32">
        <f t="shared" si="53"/>
        <v>7</v>
      </c>
      <c r="I109" s="32">
        <f t="shared" si="53"/>
        <v>7</v>
      </c>
      <c r="J109" s="32">
        <f t="shared" si="53"/>
        <v>7</v>
      </c>
      <c r="K109" s="32">
        <f t="shared" si="53"/>
        <v>7</v>
      </c>
      <c r="L109" s="32">
        <f t="shared" si="53"/>
        <v>7</v>
      </c>
      <c r="M109" s="32">
        <f t="shared" si="53"/>
        <v>7</v>
      </c>
      <c r="N109" s="32">
        <f t="shared" si="53"/>
        <v>7</v>
      </c>
      <c r="O109" s="32">
        <f t="shared" si="53"/>
        <v>7</v>
      </c>
      <c r="P109" s="32">
        <f t="shared" si="53"/>
        <v>7</v>
      </c>
      <c r="Q109" s="116">
        <f>+SUM(D109:P109)</f>
        <v>91</v>
      </c>
      <c r="R109" s="66"/>
      <c r="S109" s="137" t="s">
        <v>1</v>
      </c>
      <c r="T109" s="138">
        <f t="shared" si="44"/>
        <v>3.5714285714285712E-2</v>
      </c>
      <c r="U109" s="52"/>
    </row>
    <row r="110" spans="2:24" ht="14" customHeight="1" thickTop="1" thickBot="1" x14ac:dyDescent="0.2">
      <c r="B110" s="33" t="s">
        <v>1</v>
      </c>
      <c r="C110" s="34" t="str">
        <f>C46</f>
        <v>Vendredi</v>
      </c>
      <c r="D110" s="25" t="s">
        <v>1</v>
      </c>
      <c r="E110" s="25" t="s">
        <v>1</v>
      </c>
      <c r="F110" s="25" t="s">
        <v>1</v>
      </c>
      <c r="G110" s="25" t="s">
        <v>1</v>
      </c>
      <c r="H110" s="25" t="s">
        <v>1</v>
      </c>
      <c r="I110" s="25" t="s">
        <v>1</v>
      </c>
      <c r="J110" s="25" t="s">
        <v>1</v>
      </c>
      <c r="K110" s="25" t="s">
        <v>1</v>
      </c>
      <c r="L110" s="25" t="s">
        <v>1</v>
      </c>
      <c r="M110" s="25" t="s">
        <v>1</v>
      </c>
      <c r="N110" s="25" t="s">
        <v>1</v>
      </c>
      <c r="O110" s="25" t="s">
        <v>1</v>
      </c>
      <c r="P110" s="120" t="s">
        <v>1</v>
      </c>
      <c r="Q110" s="121"/>
      <c r="R110" s="57"/>
      <c r="S110" s="23" t="s">
        <v>1</v>
      </c>
      <c r="T110" s="26" t="s">
        <v>1</v>
      </c>
      <c r="U110" s="57"/>
      <c r="V110" s="57" t="s">
        <v>1</v>
      </c>
      <c r="W110" s="57" t="s">
        <v>1</v>
      </c>
      <c r="X110" s="58"/>
    </row>
    <row r="111" spans="2:24" ht="14" customHeight="1" thickTop="1" thickBot="1" x14ac:dyDescent="0.2">
      <c r="B111" s="27">
        <v>1</v>
      </c>
      <c r="C111" s="14" t="str">
        <f t="shared" ref="C111:C117" si="54">C102</f>
        <v>6 h à 9 h 30</v>
      </c>
      <c r="D111" s="15">
        <v>1</v>
      </c>
      <c r="E111" s="15">
        <v>1</v>
      </c>
      <c r="F111" s="15">
        <v>1</v>
      </c>
      <c r="G111" s="15">
        <v>1</v>
      </c>
      <c r="H111" s="15">
        <v>1</v>
      </c>
      <c r="I111" s="15">
        <v>1</v>
      </c>
      <c r="J111" s="15">
        <v>1</v>
      </c>
      <c r="K111" s="15">
        <v>1</v>
      </c>
      <c r="L111" s="15">
        <v>1</v>
      </c>
      <c r="M111" s="15">
        <v>1</v>
      </c>
      <c r="N111" s="15">
        <v>1</v>
      </c>
      <c r="O111" s="15">
        <v>1</v>
      </c>
      <c r="P111" s="15">
        <v>1</v>
      </c>
      <c r="Q111" s="129">
        <f>+SUM(D111:P111)</f>
        <v>13</v>
      </c>
      <c r="R111" s="64"/>
      <c r="S111" s="133">
        <f t="shared" ref="S111:S117" si="55">SUM(D111:P111)/$Q$267</f>
        <v>5.1020408163265302E-3</v>
      </c>
      <c r="T111" s="139"/>
      <c r="U111" s="50"/>
    </row>
    <row r="112" spans="2:24" ht="14" customHeight="1" thickTop="1" thickBot="1" x14ac:dyDescent="0.2">
      <c r="B112" s="28">
        <v>2</v>
      </c>
      <c r="C112" s="17" t="str">
        <f t="shared" si="54"/>
        <v>9 h 30 à 11 h 30</v>
      </c>
      <c r="D112" s="18">
        <v>1</v>
      </c>
      <c r="E112" s="18">
        <v>1</v>
      </c>
      <c r="F112" s="18">
        <v>1</v>
      </c>
      <c r="G112" s="18">
        <v>1</v>
      </c>
      <c r="H112" s="18">
        <v>1</v>
      </c>
      <c r="I112" s="18">
        <v>1</v>
      </c>
      <c r="J112" s="18">
        <v>1</v>
      </c>
      <c r="K112" s="18">
        <v>1</v>
      </c>
      <c r="L112" s="18">
        <v>1</v>
      </c>
      <c r="M112" s="18">
        <v>1</v>
      </c>
      <c r="N112" s="18">
        <v>1</v>
      </c>
      <c r="O112" s="18">
        <v>1</v>
      </c>
      <c r="P112" s="18">
        <v>1</v>
      </c>
      <c r="Q112" s="130">
        <f>+SUM(D112:P112)</f>
        <v>13</v>
      </c>
      <c r="R112" s="64"/>
      <c r="S112" s="135">
        <f t="shared" si="55"/>
        <v>5.1020408163265302E-3</v>
      </c>
      <c r="T112" s="140"/>
      <c r="U112" s="50"/>
    </row>
    <row r="113" spans="2:25" ht="14" customHeight="1" thickTop="1" thickBot="1" x14ac:dyDescent="0.2">
      <c r="B113" s="28">
        <v>3</v>
      </c>
      <c r="C113" s="17" t="str">
        <f t="shared" si="54"/>
        <v>11 h 30 à 14 h 30</v>
      </c>
      <c r="D113" s="18">
        <v>1</v>
      </c>
      <c r="E113" s="18">
        <v>1</v>
      </c>
      <c r="F113" s="18">
        <v>1</v>
      </c>
      <c r="G113" s="18">
        <v>1</v>
      </c>
      <c r="H113" s="18">
        <v>1</v>
      </c>
      <c r="I113" s="18">
        <v>1</v>
      </c>
      <c r="J113" s="18">
        <v>1</v>
      </c>
      <c r="K113" s="18">
        <v>1</v>
      </c>
      <c r="L113" s="18">
        <v>1</v>
      </c>
      <c r="M113" s="18">
        <v>1</v>
      </c>
      <c r="N113" s="18">
        <v>1</v>
      </c>
      <c r="O113" s="18">
        <v>1</v>
      </c>
      <c r="P113" s="18">
        <v>1</v>
      </c>
      <c r="Q113" s="130">
        <f t="shared" ref="Q113:Q117" si="56">+SUM(D113:P113)</f>
        <v>13</v>
      </c>
      <c r="R113" s="64"/>
      <c r="S113" s="135">
        <f t="shared" si="55"/>
        <v>5.1020408163265302E-3</v>
      </c>
      <c r="T113" s="140"/>
      <c r="U113" s="50"/>
    </row>
    <row r="114" spans="2:25" ht="14" customHeight="1" thickTop="1" thickBot="1" x14ac:dyDescent="0.2">
      <c r="B114" s="28">
        <v>4</v>
      </c>
      <c r="C114" s="17" t="str">
        <f t="shared" si="54"/>
        <v>14 h 30 à 17 h</v>
      </c>
      <c r="D114" s="18">
        <v>1</v>
      </c>
      <c r="E114" s="18">
        <v>1</v>
      </c>
      <c r="F114" s="18">
        <v>1</v>
      </c>
      <c r="G114" s="18">
        <v>1</v>
      </c>
      <c r="H114" s="18">
        <v>1</v>
      </c>
      <c r="I114" s="18">
        <v>1</v>
      </c>
      <c r="J114" s="18">
        <v>1</v>
      </c>
      <c r="K114" s="18">
        <v>1</v>
      </c>
      <c r="L114" s="18">
        <v>1</v>
      </c>
      <c r="M114" s="18">
        <v>1</v>
      </c>
      <c r="N114" s="18">
        <v>1</v>
      </c>
      <c r="O114" s="18">
        <v>1</v>
      </c>
      <c r="P114" s="18">
        <v>1</v>
      </c>
      <c r="Q114" s="130">
        <f t="shared" si="56"/>
        <v>13</v>
      </c>
      <c r="R114" s="64"/>
      <c r="S114" s="135">
        <f t="shared" si="55"/>
        <v>5.1020408163265302E-3</v>
      </c>
      <c r="T114" s="140"/>
      <c r="U114" s="50"/>
    </row>
    <row r="115" spans="2:25" ht="14" customHeight="1" thickTop="1" thickBot="1" x14ac:dyDescent="0.2">
      <c r="B115" s="28">
        <v>5</v>
      </c>
      <c r="C115" s="17" t="str">
        <f t="shared" si="54"/>
        <v>17 h à 19 h</v>
      </c>
      <c r="D115" s="18">
        <v>1</v>
      </c>
      <c r="E115" s="18">
        <v>1</v>
      </c>
      <c r="F115" s="18">
        <v>1</v>
      </c>
      <c r="G115" s="18">
        <v>1</v>
      </c>
      <c r="H115" s="18">
        <v>1</v>
      </c>
      <c r="I115" s="18">
        <v>1</v>
      </c>
      <c r="J115" s="18">
        <v>1</v>
      </c>
      <c r="K115" s="18">
        <v>1</v>
      </c>
      <c r="L115" s="18">
        <v>1</v>
      </c>
      <c r="M115" s="18">
        <v>1</v>
      </c>
      <c r="N115" s="18">
        <v>1</v>
      </c>
      <c r="O115" s="18">
        <v>1</v>
      </c>
      <c r="P115" s="18">
        <v>1</v>
      </c>
      <c r="Q115" s="130">
        <f t="shared" si="56"/>
        <v>13</v>
      </c>
      <c r="R115" s="64"/>
      <c r="S115" s="135">
        <f t="shared" si="55"/>
        <v>5.1020408163265302E-3</v>
      </c>
      <c r="T115" s="140"/>
      <c r="U115" s="50"/>
    </row>
    <row r="116" spans="2:25" ht="14" customHeight="1" thickTop="1" thickBot="1" x14ac:dyDescent="0.2">
      <c r="B116" s="28">
        <v>6</v>
      </c>
      <c r="C116" s="17" t="str">
        <f t="shared" si="54"/>
        <v>19 h à 23 h</v>
      </c>
      <c r="D116" s="18">
        <v>1</v>
      </c>
      <c r="E116" s="18">
        <v>1</v>
      </c>
      <c r="F116" s="18">
        <v>1</v>
      </c>
      <c r="G116" s="18">
        <v>1</v>
      </c>
      <c r="H116" s="18">
        <v>1</v>
      </c>
      <c r="I116" s="18">
        <v>1</v>
      </c>
      <c r="J116" s="18">
        <v>1</v>
      </c>
      <c r="K116" s="18">
        <v>1</v>
      </c>
      <c r="L116" s="18">
        <v>1</v>
      </c>
      <c r="M116" s="18">
        <v>1</v>
      </c>
      <c r="N116" s="18">
        <v>1</v>
      </c>
      <c r="O116" s="18">
        <v>1</v>
      </c>
      <c r="P116" s="18">
        <v>1</v>
      </c>
      <c r="Q116" s="130">
        <f t="shared" si="56"/>
        <v>13</v>
      </c>
      <c r="R116" s="64"/>
      <c r="S116" s="135">
        <f t="shared" si="55"/>
        <v>5.1020408163265302E-3</v>
      </c>
      <c r="T116" s="140"/>
      <c r="U116" s="50"/>
    </row>
    <row r="117" spans="2:25" ht="14" customHeight="1" thickTop="1" thickBot="1" x14ac:dyDescent="0.2">
      <c r="B117" s="28">
        <v>7</v>
      </c>
      <c r="C117" s="17" t="str">
        <f t="shared" si="54"/>
        <v>23 h à 6 h</v>
      </c>
      <c r="D117" s="18">
        <v>1</v>
      </c>
      <c r="E117" s="18">
        <v>1</v>
      </c>
      <c r="F117" s="18">
        <v>1</v>
      </c>
      <c r="G117" s="18">
        <v>1</v>
      </c>
      <c r="H117" s="18">
        <v>1</v>
      </c>
      <c r="I117" s="18">
        <v>1</v>
      </c>
      <c r="J117" s="18">
        <v>1</v>
      </c>
      <c r="K117" s="18">
        <v>1</v>
      </c>
      <c r="L117" s="18">
        <v>1</v>
      </c>
      <c r="M117" s="18">
        <v>1</v>
      </c>
      <c r="N117" s="18">
        <v>1</v>
      </c>
      <c r="O117" s="18">
        <v>1</v>
      </c>
      <c r="P117" s="18">
        <v>1</v>
      </c>
      <c r="Q117" s="130">
        <f t="shared" si="56"/>
        <v>13</v>
      </c>
      <c r="R117" s="64"/>
      <c r="S117" s="135">
        <f t="shared" si="55"/>
        <v>5.1020408163265302E-3</v>
      </c>
      <c r="T117" s="140"/>
      <c r="U117" s="50"/>
    </row>
    <row r="118" spans="2:25" ht="14" customHeight="1" thickTop="1" thickBot="1" x14ac:dyDescent="0.2">
      <c r="B118" s="29"/>
      <c r="C118" s="36" t="str">
        <f t="shared" ref="C118" si="57">+C109</f>
        <v>Total</v>
      </c>
      <c r="D118" s="32">
        <f t="shared" ref="D118:P118" si="58">+D111+D112+D113+D114+D115+D116+D117</f>
        <v>7</v>
      </c>
      <c r="E118" s="32">
        <f t="shared" si="58"/>
        <v>7</v>
      </c>
      <c r="F118" s="32">
        <f t="shared" si="58"/>
        <v>7</v>
      </c>
      <c r="G118" s="32">
        <f t="shared" si="58"/>
        <v>7</v>
      </c>
      <c r="H118" s="32">
        <f t="shared" si="58"/>
        <v>7</v>
      </c>
      <c r="I118" s="32">
        <f t="shared" si="58"/>
        <v>7</v>
      </c>
      <c r="J118" s="32">
        <f t="shared" si="58"/>
        <v>7</v>
      </c>
      <c r="K118" s="32">
        <f t="shared" si="58"/>
        <v>7</v>
      </c>
      <c r="L118" s="32">
        <f t="shared" si="58"/>
        <v>7</v>
      </c>
      <c r="M118" s="32">
        <f t="shared" si="58"/>
        <v>7</v>
      </c>
      <c r="N118" s="32">
        <f t="shared" si="58"/>
        <v>7</v>
      </c>
      <c r="O118" s="32">
        <f t="shared" si="58"/>
        <v>7</v>
      </c>
      <c r="P118" s="32">
        <f t="shared" si="58"/>
        <v>7</v>
      </c>
      <c r="Q118" s="116">
        <f>+SUM(D118:P118)</f>
        <v>91</v>
      </c>
      <c r="R118" s="66"/>
      <c r="S118" s="137" t="s">
        <v>1</v>
      </c>
      <c r="T118" s="138">
        <f t="shared" si="44"/>
        <v>3.5714285714285712E-2</v>
      </c>
      <c r="U118" s="52"/>
    </row>
    <row r="119" spans="2:25" ht="14" customHeight="1" thickTop="1" thickBot="1" x14ac:dyDescent="0.2">
      <c r="B119" s="33" t="s">
        <v>1</v>
      </c>
      <c r="C119" s="37" t="str">
        <f>C55</f>
        <v>Samedi</v>
      </c>
      <c r="D119" s="25" t="s">
        <v>1</v>
      </c>
      <c r="E119" s="25" t="s">
        <v>1</v>
      </c>
      <c r="F119" s="25" t="s">
        <v>1</v>
      </c>
      <c r="G119" s="25" t="s">
        <v>1</v>
      </c>
      <c r="H119" s="25" t="s">
        <v>1</v>
      </c>
      <c r="I119" s="25" t="s">
        <v>1</v>
      </c>
      <c r="J119" s="25" t="s">
        <v>1</v>
      </c>
      <c r="K119" s="25" t="s">
        <v>1</v>
      </c>
      <c r="L119" s="25" t="s">
        <v>1</v>
      </c>
      <c r="M119" s="25" t="s">
        <v>1</v>
      </c>
      <c r="N119" s="25" t="s">
        <v>1</v>
      </c>
      <c r="O119" s="25" t="s">
        <v>1</v>
      </c>
      <c r="P119" s="120" t="s">
        <v>1</v>
      </c>
      <c r="Q119" s="121"/>
      <c r="R119" s="57"/>
      <c r="S119" s="23" t="s">
        <v>1</v>
      </c>
      <c r="T119" s="26" t="s">
        <v>1</v>
      </c>
      <c r="U119" s="57" t="s">
        <v>1</v>
      </c>
      <c r="V119" s="57" t="s">
        <v>1</v>
      </c>
      <c r="W119" s="57" t="s">
        <v>1</v>
      </c>
      <c r="X119" s="58"/>
    </row>
    <row r="120" spans="2:25" ht="14" customHeight="1" thickTop="1" thickBot="1" x14ac:dyDescent="0.2">
      <c r="B120" s="27">
        <v>1</v>
      </c>
      <c r="C120" s="14" t="str">
        <f t="shared" ref="C120:C126" si="59">C111</f>
        <v>6 h à 9 h 30</v>
      </c>
      <c r="D120" s="15">
        <v>1</v>
      </c>
      <c r="E120" s="15">
        <v>1</v>
      </c>
      <c r="F120" s="15">
        <v>1</v>
      </c>
      <c r="G120" s="15">
        <v>1</v>
      </c>
      <c r="H120" s="15">
        <v>1</v>
      </c>
      <c r="I120" s="15">
        <v>1</v>
      </c>
      <c r="J120" s="15">
        <v>1</v>
      </c>
      <c r="K120" s="15">
        <v>1</v>
      </c>
      <c r="L120" s="15">
        <v>1</v>
      </c>
      <c r="M120" s="15">
        <v>1</v>
      </c>
      <c r="N120" s="15">
        <v>1</v>
      </c>
      <c r="O120" s="15">
        <v>1</v>
      </c>
      <c r="P120" s="15">
        <v>1</v>
      </c>
      <c r="Q120" s="129">
        <f>+SUM(D120:P120)</f>
        <v>13</v>
      </c>
      <c r="R120" s="64"/>
      <c r="S120" s="133">
        <f t="shared" ref="S120:S126" si="60">SUM(D120:P120)/$Q$267</f>
        <v>5.1020408163265302E-3</v>
      </c>
      <c r="T120" s="139"/>
      <c r="U120" s="50"/>
    </row>
    <row r="121" spans="2:25" ht="14" customHeight="1" thickTop="1" thickBot="1" x14ac:dyDescent="0.2">
      <c r="B121" s="27">
        <v>2</v>
      </c>
      <c r="C121" s="17" t="str">
        <f t="shared" si="59"/>
        <v>9 h 30 à 11 h 30</v>
      </c>
      <c r="D121" s="18">
        <v>1</v>
      </c>
      <c r="E121" s="18">
        <v>1</v>
      </c>
      <c r="F121" s="18">
        <v>1</v>
      </c>
      <c r="G121" s="18">
        <v>1</v>
      </c>
      <c r="H121" s="18">
        <v>1</v>
      </c>
      <c r="I121" s="18">
        <v>1</v>
      </c>
      <c r="J121" s="18">
        <v>1</v>
      </c>
      <c r="K121" s="18">
        <v>1</v>
      </c>
      <c r="L121" s="18">
        <v>1</v>
      </c>
      <c r="M121" s="18">
        <v>1</v>
      </c>
      <c r="N121" s="18">
        <v>1</v>
      </c>
      <c r="O121" s="18">
        <v>1</v>
      </c>
      <c r="P121" s="18">
        <v>1</v>
      </c>
      <c r="Q121" s="130">
        <f>+SUM(D121:P121)</f>
        <v>13</v>
      </c>
      <c r="R121" s="64"/>
      <c r="S121" s="135">
        <f t="shared" si="60"/>
        <v>5.1020408163265302E-3</v>
      </c>
      <c r="T121" s="140"/>
      <c r="U121" s="50"/>
    </row>
    <row r="122" spans="2:25" ht="14" customHeight="1" thickTop="1" thickBot="1" x14ac:dyDescent="0.2">
      <c r="B122" s="27">
        <v>3</v>
      </c>
      <c r="C122" s="59" t="str">
        <f>C113</f>
        <v>11 h 30 à 14 h 30</v>
      </c>
      <c r="D122" s="18">
        <v>1</v>
      </c>
      <c r="E122" s="18">
        <v>1</v>
      </c>
      <c r="F122" s="18">
        <v>1</v>
      </c>
      <c r="G122" s="18">
        <v>1</v>
      </c>
      <c r="H122" s="18">
        <v>1</v>
      </c>
      <c r="I122" s="18">
        <v>1</v>
      </c>
      <c r="J122" s="18">
        <v>1</v>
      </c>
      <c r="K122" s="18">
        <v>1</v>
      </c>
      <c r="L122" s="18">
        <v>1</v>
      </c>
      <c r="M122" s="18">
        <v>1</v>
      </c>
      <c r="N122" s="18">
        <v>1</v>
      </c>
      <c r="O122" s="18">
        <v>1</v>
      </c>
      <c r="P122" s="18">
        <v>1</v>
      </c>
      <c r="Q122" s="130">
        <f t="shared" ref="Q122:Q126" si="61">+SUM(D122:P122)</f>
        <v>13</v>
      </c>
      <c r="R122" s="64"/>
      <c r="S122" s="135">
        <f t="shared" si="60"/>
        <v>5.1020408163265302E-3</v>
      </c>
      <c r="T122" s="140"/>
      <c r="U122" s="50"/>
    </row>
    <row r="123" spans="2:25" ht="14" customHeight="1" thickTop="1" thickBot="1" x14ac:dyDescent="0.2">
      <c r="B123" s="27">
        <v>4</v>
      </c>
      <c r="C123" s="17" t="str">
        <f t="shared" si="59"/>
        <v>14 h 30 à 17 h</v>
      </c>
      <c r="D123" s="18">
        <v>1</v>
      </c>
      <c r="E123" s="18">
        <v>1</v>
      </c>
      <c r="F123" s="18">
        <v>1</v>
      </c>
      <c r="G123" s="18">
        <v>1</v>
      </c>
      <c r="H123" s="18">
        <v>1</v>
      </c>
      <c r="I123" s="18">
        <v>1</v>
      </c>
      <c r="J123" s="18">
        <v>1</v>
      </c>
      <c r="K123" s="18">
        <v>1</v>
      </c>
      <c r="L123" s="18">
        <v>1</v>
      </c>
      <c r="M123" s="18">
        <v>1</v>
      </c>
      <c r="N123" s="18">
        <v>1</v>
      </c>
      <c r="O123" s="18">
        <v>1</v>
      </c>
      <c r="P123" s="18">
        <v>1</v>
      </c>
      <c r="Q123" s="130">
        <f t="shared" si="61"/>
        <v>13</v>
      </c>
      <c r="R123" s="64"/>
      <c r="S123" s="135">
        <f t="shared" si="60"/>
        <v>5.1020408163265302E-3</v>
      </c>
      <c r="T123" s="140"/>
      <c r="U123" s="50"/>
    </row>
    <row r="124" spans="2:25" ht="14" customHeight="1" thickTop="1" thickBot="1" x14ac:dyDescent="0.2">
      <c r="B124" s="27">
        <v>5</v>
      </c>
      <c r="C124" s="17" t="str">
        <f t="shared" si="59"/>
        <v>17 h à 19 h</v>
      </c>
      <c r="D124" s="18">
        <v>1</v>
      </c>
      <c r="E124" s="18">
        <v>1</v>
      </c>
      <c r="F124" s="18">
        <v>1</v>
      </c>
      <c r="G124" s="18">
        <v>1</v>
      </c>
      <c r="H124" s="18">
        <v>1</v>
      </c>
      <c r="I124" s="18">
        <v>1</v>
      </c>
      <c r="J124" s="18">
        <v>1</v>
      </c>
      <c r="K124" s="18">
        <v>1</v>
      </c>
      <c r="L124" s="18">
        <v>1</v>
      </c>
      <c r="M124" s="18">
        <v>1</v>
      </c>
      <c r="N124" s="18">
        <v>1</v>
      </c>
      <c r="O124" s="18">
        <v>1</v>
      </c>
      <c r="P124" s="18">
        <v>1</v>
      </c>
      <c r="Q124" s="130">
        <f t="shared" si="61"/>
        <v>13</v>
      </c>
      <c r="R124" s="64"/>
      <c r="S124" s="135">
        <f t="shared" si="60"/>
        <v>5.1020408163265302E-3</v>
      </c>
      <c r="T124" s="140"/>
      <c r="U124" s="50"/>
    </row>
    <row r="125" spans="2:25" ht="14" customHeight="1" thickTop="1" thickBot="1" x14ac:dyDescent="0.2">
      <c r="B125" s="27">
        <v>6</v>
      </c>
      <c r="C125" s="17" t="str">
        <f t="shared" si="59"/>
        <v>19 h à 23 h</v>
      </c>
      <c r="D125" s="18">
        <v>1</v>
      </c>
      <c r="E125" s="18">
        <v>1</v>
      </c>
      <c r="F125" s="18">
        <v>1</v>
      </c>
      <c r="G125" s="18">
        <v>1</v>
      </c>
      <c r="H125" s="18">
        <v>1</v>
      </c>
      <c r="I125" s="18">
        <v>1</v>
      </c>
      <c r="J125" s="18">
        <v>1</v>
      </c>
      <c r="K125" s="18">
        <v>1</v>
      </c>
      <c r="L125" s="18">
        <v>1</v>
      </c>
      <c r="M125" s="18">
        <v>1</v>
      </c>
      <c r="N125" s="18">
        <v>1</v>
      </c>
      <c r="O125" s="18">
        <v>1</v>
      </c>
      <c r="P125" s="18">
        <v>1</v>
      </c>
      <c r="Q125" s="130">
        <f t="shared" si="61"/>
        <v>13</v>
      </c>
      <c r="R125" s="64"/>
      <c r="S125" s="135">
        <f t="shared" si="60"/>
        <v>5.1020408163265302E-3</v>
      </c>
      <c r="T125" s="140"/>
      <c r="U125" s="50"/>
    </row>
    <row r="126" spans="2:25" ht="14" customHeight="1" thickTop="1" thickBot="1" x14ac:dyDescent="0.2">
      <c r="B126" s="27">
        <v>7</v>
      </c>
      <c r="C126" s="17" t="str">
        <f t="shared" si="59"/>
        <v>23 h à 6 h</v>
      </c>
      <c r="D126" s="18">
        <v>1</v>
      </c>
      <c r="E126" s="18">
        <v>1</v>
      </c>
      <c r="F126" s="18">
        <v>1</v>
      </c>
      <c r="G126" s="18">
        <v>1</v>
      </c>
      <c r="H126" s="18">
        <v>1</v>
      </c>
      <c r="I126" s="18">
        <v>1</v>
      </c>
      <c r="J126" s="18">
        <v>1</v>
      </c>
      <c r="K126" s="18">
        <v>1</v>
      </c>
      <c r="L126" s="18">
        <v>1</v>
      </c>
      <c r="M126" s="18">
        <v>1</v>
      </c>
      <c r="N126" s="18">
        <v>1</v>
      </c>
      <c r="O126" s="18">
        <v>1</v>
      </c>
      <c r="P126" s="18">
        <v>1</v>
      </c>
      <c r="Q126" s="130">
        <f t="shared" si="61"/>
        <v>13</v>
      </c>
      <c r="R126" s="64"/>
      <c r="S126" s="135">
        <f t="shared" si="60"/>
        <v>5.1020408163265302E-3</v>
      </c>
      <c r="T126" s="140"/>
      <c r="U126" s="50"/>
    </row>
    <row r="127" spans="2:25" ht="14" customHeight="1" thickTop="1" thickBot="1" x14ac:dyDescent="0.2">
      <c r="B127" s="29"/>
      <c r="C127" s="30" t="str">
        <f t="shared" ref="C127" si="62">+C118</f>
        <v>Total</v>
      </c>
      <c r="D127" s="32">
        <f>+D120+D121+D122+D123+D124+D125+D126</f>
        <v>7</v>
      </c>
      <c r="E127" s="32">
        <f>+E120+E121+E122+E123+E124+E125+E126</f>
        <v>7</v>
      </c>
      <c r="F127" s="32">
        <f>+F120+F121+F122+F123+F124+F125+F126</f>
        <v>7</v>
      </c>
      <c r="G127" s="32">
        <f t="shared" ref="G127:N127" si="63">+G120+G121+G122+G123+G124+G125+G126</f>
        <v>7</v>
      </c>
      <c r="H127" s="32">
        <f t="shared" si="63"/>
        <v>7</v>
      </c>
      <c r="I127" s="32">
        <f t="shared" si="63"/>
        <v>7</v>
      </c>
      <c r="J127" s="32">
        <f t="shared" si="63"/>
        <v>7</v>
      </c>
      <c r="K127" s="32">
        <f t="shared" si="63"/>
        <v>7</v>
      </c>
      <c r="L127" s="32">
        <f t="shared" si="63"/>
        <v>7</v>
      </c>
      <c r="M127" s="32">
        <f t="shared" si="63"/>
        <v>7</v>
      </c>
      <c r="N127" s="32">
        <f t="shared" si="63"/>
        <v>7</v>
      </c>
      <c r="O127" s="31">
        <f>+O120+O121+O122+O123+O124+O125+O126</f>
        <v>7</v>
      </c>
      <c r="P127" s="31">
        <f>+P120+P121+P122+P123+P124+P125+P126</f>
        <v>7</v>
      </c>
      <c r="Q127" s="116">
        <f>+SUM(D127:P127)</f>
        <v>91</v>
      </c>
      <c r="R127" s="66"/>
      <c r="S127" s="137" t="s">
        <v>1</v>
      </c>
      <c r="T127" s="138">
        <f t="shared" si="44"/>
        <v>3.5714285714285712E-2</v>
      </c>
      <c r="U127" s="52"/>
    </row>
    <row r="128" spans="2:25" ht="14" customHeight="1" thickTop="1" thickBot="1" x14ac:dyDescent="0.2">
      <c r="B128" s="33" t="s">
        <v>1</v>
      </c>
      <c r="C128" s="34" t="str">
        <f>C64</f>
        <v>Dimanche</v>
      </c>
      <c r="D128" s="25" t="s">
        <v>1</v>
      </c>
      <c r="E128" s="25" t="s">
        <v>1</v>
      </c>
      <c r="F128" s="25" t="s">
        <v>1</v>
      </c>
      <c r="G128" s="25" t="s">
        <v>1</v>
      </c>
      <c r="H128" s="25" t="s">
        <v>1</v>
      </c>
      <c r="I128" s="25" t="s">
        <v>1</v>
      </c>
      <c r="J128" s="25" t="s">
        <v>1</v>
      </c>
      <c r="K128" s="25" t="s">
        <v>1</v>
      </c>
      <c r="L128" s="25" t="s">
        <v>1</v>
      </c>
      <c r="M128" s="25" t="s">
        <v>1</v>
      </c>
      <c r="N128" s="25" t="s">
        <v>1</v>
      </c>
      <c r="O128" s="25" t="s">
        <v>1</v>
      </c>
      <c r="P128" s="120" t="s">
        <v>1</v>
      </c>
      <c r="Q128" s="121"/>
      <c r="R128" s="57"/>
      <c r="S128" s="23" t="s">
        <v>1</v>
      </c>
      <c r="T128" s="26" t="s">
        <v>1</v>
      </c>
      <c r="U128" s="57" t="s">
        <v>1</v>
      </c>
      <c r="V128" s="57" t="s">
        <v>1</v>
      </c>
      <c r="W128" s="57" t="s">
        <v>1</v>
      </c>
      <c r="X128" s="57" t="s">
        <v>1</v>
      </c>
      <c r="Y128" s="58"/>
    </row>
    <row r="129" spans="2:23" ht="14" customHeight="1" thickTop="1" thickBot="1" x14ac:dyDescent="0.2">
      <c r="B129" s="28">
        <v>1</v>
      </c>
      <c r="C129" s="14" t="str">
        <f t="shared" ref="C129:C135" si="64">C120</f>
        <v>6 h à 9 h 30</v>
      </c>
      <c r="D129" s="15">
        <v>1</v>
      </c>
      <c r="E129" s="15">
        <v>1</v>
      </c>
      <c r="F129" s="15">
        <v>1</v>
      </c>
      <c r="G129" s="15">
        <v>1</v>
      </c>
      <c r="H129" s="15">
        <v>1</v>
      </c>
      <c r="I129" s="15">
        <v>1</v>
      </c>
      <c r="J129" s="15">
        <v>1</v>
      </c>
      <c r="K129" s="15">
        <v>1</v>
      </c>
      <c r="L129" s="15">
        <v>1</v>
      </c>
      <c r="M129" s="15">
        <v>1</v>
      </c>
      <c r="N129" s="15">
        <v>1</v>
      </c>
      <c r="O129" s="15">
        <v>1</v>
      </c>
      <c r="P129" s="15">
        <v>1</v>
      </c>
      <c r="Q129" s="129">
        <f>+SUM(D129:P129)</f>
        <v>13</v>
      </c>
      <c r="R129" s="64"/>
      <c r="S129" s="133">
        <f t="shared" ref="S129:S135" si="65">SUM(D129:P129)/$Q$267</f>
        <v>5.1020408163265302E-3</v>
      </c>
      <c r="T129" s="139"/>
      <c r="U129" s="50"/>
    </row>
    <row r="130" spans="2:23" ht="14" customHeight="1" thickTop="1" thickBot="1" x14ac:dyDescent="0.2">
      <c r="B130" s="27">
        <v>2</v>
      </c>
      <c r="C130" s="17" t="str">
        <f t="shared" si="64"/>
        <v>9 h 30 à 11 h 30</v>
      </c>
      <c r="D130" s="18">
        <v>1</v>
      </c>
      <c r="E130" s="18">
        <v>1</v>
      </c>
      <c r="F130" s="18">
        <v>1</v>
      </c>
      <c r="G130" s="18">
        <v>1</v>
      </c>
      <c r="H130" s="18">
        <v>1</v>
      </c>
      <c r="I130" s="18">
        <v>1</v>
      </c>
      <c r="J130" s="18">
        <v>1</v>
      </c>
      <c r="K130" s="18">
        <v>1</v>
      </c>
      <c r="L130" s="18">
        <v>1</v>
      </c>
      <c r="M130" s="18">
        <v>1</v>
      </c>
      <c r="N130" s="18">
        <v>1</v>
      </c>
      <c r="O130" s="18">
        <v>1</v>
      </c>
      <c r="P130" s="18">
        <v>1</v>
      </c>
      <c r="Q130" s="130">
        <f>+SUM(D130:P130)</f>
        <v>13</v>
      </c>
      <c r="R130" s="64"/>
      <c r="S130" s="135">
        <f t="shared" si="65"/>
        <v>5.1020408163265302E-3</v>
      </c>
      <c r="T130" s="140"/>
      <c r="U130" s="50"/>
    </row>
    <row r="131" spans="2:23" ht="14" customHeight="1" thickTop="1" thickBot="1" x14ac:dyDescent="0.2">
      <c r="B131" s="27">
        <v>3</v>
      </c>
      <c r="C131" s="17" t="str">
        <f t="shared" si="64"/>
        <v>11 h 30 à 14 h 30</v>
      </c>
      <c r="D131" s="18">
        <v>1</v>
      </c>
      <c r="E131" s="18">
        <v>1</v>
      </c>
      <c r="F131" s="18">
        <v>1</v>
      </c>
      <c r="G131" s="18">
        <v>1</v>
      </c>
      <c r="H131" s="18">
        <v>1</v>
      </c>
      <c r="I131" s="18">
        <v>1</v>
      </c>
      <c r="J131" s="18">
        <v>1</v>
      </c>
      <c r="K131" s="18">
        <v>1</v>
      </c>
      <c r="L131" s="18">
        <v>1</v>
      </c>
      <c r="M131" s="18">
        <v>1</v>
      </c>
      <c r="N131" s="18">
        <v>1</v>
      </c>
      <c r="O131" s="18">
        <v>1</v>
      </c>
      <c r="P131" s="18">
        <v>1</v>
      </c>
      <c r="Q131" s="130">
        <f t="shared" ref="Q131:Q135" si="66">+SUM(D131:P131)</f>
        <v>13</v>
      </c>
      <c r="R131" s="64"/>
      <c r="S131" s="135">
        <f t="shared" si="65"/>
        <v>5.1020408163265302E-3</v>
      </c>
      <c r="T131" s="140"/>
      <c r="U131" s="50"/>
    </row>
    <row r="132" spans="2:23" ht="14" customHeight="1" thickTop="1" thickBot="1" x14ac:dyDescent="0.2">
      <c r="B132" s="27">
        <v>4</v>
      </c>
      <c r="C132" s="17" t="str">
        <f t="shared" si="64"/>
        <v>14 h 30 à 17 h</v>
      </c>
      <c r="D132" s="18">
        <v>1</v>
      </c>
      <c r="E132" s="18">
        <v>1</v>
      </c>
      <c r="F132" s="18">
        <v>1</v>
      </c>
      <c r="G132" s="18">
        <v>1</v>
      </c>
      <c r="H132" s="18">
        <v>1</v>
      </c>
      <c r="I132" s="18">
        <v>1</v>
      </c>
      <c r="J132" s="18">
        <v>1</v>
      </c>
      <c r="K132" s="18">
        <v>1</v>
      </c>
      <c r="L132" s="18">
        <v>1</v>
      </c>
      <c r="M132" s="18">
        <v>1</v>
      </c>
      <c r="N132" s="18">
        <v>1</v>
      </c>
      <c r="O132" s="18">
        <v>1</v>
      </c>
      <c r="P132" s="18">
        <v>1</v>
      </c>
      <c r="Q132" s="130">
        <f t="shared" si="66"/>
        <v>13</v>
      </c>
      <c r="R132" s="64"/>
      <c r="S132" s="135">
        <f t="shared" si="65"/>
        <v>5.1020408163265302E-3</v>
      </c>
      <c r="T132" s="140"/>
      <c r="U132" s="50"/>
    </row>
    <row r="133" spans="2:23" ht="14" customHeight="1" thickTop="1" thickBot="1" x14ac:dyDescent="0.2">
      <c r="B133" s="27">
        <v>5</v>
      </c>
      <c r="C133" s="17" t="str">
        <f t="shared" si="64"/>
        <v>17 h à 19 h</v>
      </c>
      <c r="D133" s="18">
        <v>1</v>
      </c>
      <c r="E133" s="18">
        <v>1</v>
      </c>
      <c r="F133" s="18">
        <v>1</v>
      </c>
      <c r="G133" s="18">
        <v>1</v>
      </c>
      <c r="H133" s="18">
        <v>1</v>
      </c>
      <c r="I133" s="18">
        <v>1</v>
      </c>
      <c r="J133" s="18">
        <v>1</v>
      </c>
      <c r="K133" s="18">
        <v>1</v>
      </c>
      <c r="L133" s="18">
        <v>1</v>
      </c>
      <c r="M133" s="18">
        <v>1</v>
      </c>
      <c r="N133" s="18">
        <v>1</v>
      </c>
      <c r="O133" s="18">
        <v>1</v>
      </c>
      <c r="P133" s="18">
        <v>1</v>
      </c>
      <c r="Q133" s="130">
        <f t="shared" si="66"/>
        <v>13</v>
      </c>
      <c r="R133" s="64"/>
      <c r="S133" s="135">
        <f t="shared" si="65"/>
        <v>5.1020408163265302E-3</v>
      </c>
      <c r="T133" s="140"/>
      <c r="U133" s="50"/>
    </row>
    <row r="134" spans="2:23" ht="14" customHeight="1" thickTop="1" thickBot="1" x14ac:dyDescent="0.2">
      <c r="B134" s="27">
        <v>6</v>
      </c>
      <c r="C134" s="17" t="str">
        <f t="shared" si="64"/>
        <v>19 h à 23 h</v>
      </c>
      <c r="D134" s="18">
        <v>1</v>
      </c>
      <c r="E134" s="18">
        <v>1</v>
      </c>
      <c r="F134" s="18">
        <v>1</v>
      </c>
      <c r="G134" s="18">
        <v>1</v>
      </c>
      <c r="H134" s="18">
        <v>1</v>
      </c>
      <c r="I134" s="18">
        <v>1</v>
      </c>
      <c r="J134" s="18">
        <v>1</v>
      </c>
      <c r="K134" s="18">
        <v>1</v>
      </c>
      <c r="L134" s="18">
        <v>1</v>
      </c>
      <c r="M134" s="18">
        <v>1</v>
      </c>
      <c r="N134" s="18">
        <v>1</v>
      </c>
      <c r="O134" s="18">
        <v>1</v>
      </c>
      <c r="P134" s="18">
        <v>1</v>
      </c>
      <c r="Q134" s="130">
        <f t="shared" si="66"/>
        <v>13</v>
      </c>
      <c r="R134" s="64"/>
      <c r="S134" s="135">
        <f t="shared" si="65"/>
        <v>5.1020408163265302E-3</v>
      </c>
      <c r="T134" s="140"/>
      <c r="U134" s="50"/>
    </row>
    <row r="135" spans="2:23" ht="14" customHeight="1" thickTop="1" thickBot="1" x14ac:dyDescent="0.2">
      <c r="B135" s="27">
        <v>7</v>
      </c>
      <c r="C135" s="17" t="str">
        <f t="shared" si="64"/>
        <v>23 h à 6 h</v>
      </c>
      <c r="D135" s="18">
        <v>1</v>
      </c>
      <c r="E135" s="18">
        <v>1</v>
      </c>
      <c r="F135" s="18">
        <v>1</v>
      </c>
      <c r="G135" s="18">
        <v>1</v>
      </c>
      <c r="H135" s="18">
        <v>1</v>
      </c>
      <c r="I135" s="18">
        <v>1</v>
      </c>
      <c r="J135" s="18">
        <v>1</v>
      </c>
      <c r="K135" s="18">
        <v>1</v>
      </c>
      <c r="L135" s="18">
        <v>1</v>
      </c>
      <c r="M135" s="18">
        <v>1</v>
      </c>
      <c r="N135" s="18">
        <v>1</v>
      </c>
      <c r="O135" s="18">
        <v>1</v>
      </c>
      <c r="P135" s="18">
        <v>1</v>
      </c>
      <c r="Q135" s="130">
        <f t="shared" si="66"/>
        <v>13</v>
      </c>
      <c r="R135" s="64"/>
      <c r="S135" s="135">
        <f t="shared" si="65"/>
        <v>5.1020408163265302E-3</v>
      </c>
      <c r="T135" s="140"/>
      <c r="U135" s="50"/>
    </row>
    <row r="136" spans="2:23" ht="14" customHeight="1" thickTop="1" thickBot="1" x14ac:dyDescent="0.2">
      <c r="B136" s="27"/>
      <c r="C136" s="20" t="str">
        <f t="shared" ref="C136" si="67">+C127</f>
        <v>Total</v>
      </c>
      <c r="D136" s="31">
        <f t="shared" ref="D136:L136" si="68">+D129+D130+D131+D132+D133+D134+D135</f>
        <v>7</v>
      </c>
      <c r="E136" s="31">
        <f t="shared" si="68"/>
        <v>7</v>
      </c>
      <c r="F136" s="31">
        <f t="shared" si="68"/>
        <v>7</v>
      </c>
      <c r="G136" s="31">
        <f t="shared" si="68"/>
        <v>7</v>
      </c>
      <c r="H136" s="31">
        <f t="shared" si="68"/>
        <v>7</v>
      </c>
      <c r="I136" s="31">
        <f t="shared" si="68"/>
        <v>7</v>
      </c>
      <c r="J136" s="31">
        <f t="shared" si="68"/>
        <v>7</v>
      </c>
      <c r="K136" s="31">
        <f t="shared" si="68"/>
        <v>7</v>
      </c>
      <c r="L136" s="31">
        <f t="shared" si="68"/>
        <v>7</v>
      </c>
      <c r="M136" s="31">
        <f>+M129+M130+M131+M132+M133+M134+M135</f>
        <v>7</v>
      </c>
      <c r="N136" s="31">
        <f>+N129+N130+N131+N132+N133+N134+N135</f>
        <v>7</v>
      </c>
      <c r="O136" s="31">
        <f>+O129+O130+O131+O132+O133+O134+O135</f>
        <v>7</v>
      </c>
      <c r="P136" s="31">
        <f>+P129+P130+P131+P132+P133+P134+P135</f>
        <v>7</v>
      </c>
      <c r="Q136" s="116">
        <f>+SUM(D136:P136)</f>
        <v>91</v>
      </c>
      <c r="R136" s="66"/>
      <c r="S136" s="137" t="s">
        <v>1</v>
      </c>
      <c r="T136" s="138">
        <f t="shared" si="44"/>
        <v>3.5714285714285712E-2</v>
      </c>
      <c r="U136" s="52"/>
    </row>
    <row r="137" spans="2:23" ht="14" customHeight="1" thickTop="1" thickBot="1" x14ac:dyDescent="0.2">
      <c r="B137" s="566" t="s">
        <v>11</v>
      </c>
      <c r="C137" s="567"/>
      <c r="D137" s="567"/>
      <c r="E137" s="567"/>
      <c r="F137" s="567"/>
      <c r="G137" s="567"/>
      <c r="H137" s="567"/>
      <c r="I137" s="567"/>
      <c r="J137" s="567"/>
      <c r="K137" s="567"/>
      <c r="L137" s="567"/>
      <c r="M137" s="567"/>
      <c r="N137" s="567"/>
      <c r="O137" s="567"/>
      <c r="P137" s="568"/>
      <c r="Q137" s="569"/>
      <c r="R137" s="56"/>
      <c r="S137" s="554" t="s">
        <v>11</v>
      </c>
      <c r="T137" s="555"/>
      <c r="U137" s="49"/>
    </row>
    <row r="138" spans="2:23" ht="14" customHeight="1" thickTop="1" thickBot="1" x14ac:dyDescent="0.2">
      <c r="B138" s="10">
        <v>3</v>
      </c>
      <c r="C138" s="39" t="str">
        <f>C74</f>
        <v>Lundi</v>
      </c>
      <c r="D138" s="11" t="s">
        <v>1</v>
      </c>
      <c r="E138" s="11" t="s">
        <v>1</v>
      </c>
      <c r="F138" s="11" t="s">
        <v>1</v>
      </c>
      <c r="G138" s="11" t="s">
        <v>1</v>
      </c>
      <c r="H138" s="11" t="s">
        <v>1</v>
      </c>
      <c r="I138" s="11" t="s">
        <v>1</v>
      </c>
      <c r="J138" s="11" t="s">
        <v>1</v>
      </c>
      <c r="K138" s="11" t="s">
        <v>1</v>
      </c>
      <c r="L138" s="11" t="s">
        <v>1</v>
      </c>
      <c r="M138" s="11" t="s">
        <v>1</v>
      </c>
      <c r="N138" s="11" t="s">
        <v>1</v>
      </c>
      <c r="O138" s="11" t="s">
        <v>1</v>
      </c>
      <c r="P138" s="123" t="s">
        <v>1</v>
      </c>
      <c r="Q138" s="124"/>
      <c r="R138" s="57"/>
      <c r="S138" s="78" t="s">
        <v>1</v>
      </c>
      <c r="T138" s="12" t="s">
        <v>1</v>
      </c>
      <c r="U138" s="57" t="s">
        <v>1</v>
      </c>
      <c r="V138" s="57" t="s">
        <v>1</v>
      </c>
      <c r="W138" s="58"/>
    </row>
    <row r="139" spans="2:23" ht="14" customHeight="1" thickTop="1" x14ac:dyDescent="0.15">
      <c r="B139" s="13">
        <v>1</v>
      </c>
      <c r="C139" s="14" t="str">
        <f t="shared" ref="C139:C145" si="69">C129</f>
        <v>6 h à 9 h 30</v>
      </c>
      <c r="D139" s="15">
        <v>1</v>
      </c>
      <c r="E139" s="15">
        <v>1</v>
      </c>
      <c r="F139" s="15">
        <v>1</v>
      </c>
      <c r="G139" s="15">
        <v>1</v>
      </c>
      <c r="H139" s="15">
        <v>1</v>
      </c>
      <c r="I139" s="15">
        <v>1</v>
      </c>
      <c r="J139" s="15">
        <v>1</v>
      </c>
      <c r="K139" s="15">
        <v>1</v>
      </c>
      <c r="L139" s="15">
        <v>1</v>
      </c>
      <c r="M139" s="15">
        <v>1</v>
      </c>
      <c r="N139" s="15">
        <v>1</v>
      </c>
      <c r="O139" s="15">
        <v>1</v>
      </c>
      <c r="P139" s="15">
        <v>1</v>
      </c>
      <c r="Q139" s="129">
        <f>+SUM(D139:P139)</f>
        <v>13</v>
      </c>
      <c r="R139" s="64"/>
      <c r="S139" s="133">
        <f t="shared" ref="S139:S145" si="70">SUM(D139:P139)/$Q$267</f>
        <v>5.1020408163265302E-3</v>
      </c>
      <c r="T139" s="139"/>
      <c r="U139" s="50"/>
    </row>
    <row r="140" spans="2:23" ht="14" customHeight="1" x14ac:dyDescent="0.15">
      <c r="B140" s="16">
        <v>2</v>
      </c>
      <c r="C140" s="17" t="str">
        <f t="shared" si="69"/>
        <v>9 h 30 à 11 h 30</v>
      </c>
      <c r="D140" s="18">
        <v>1</v>
      </c>
      <c r="E140" s="18">
        <v>1</v>
      </c>
      <c r="F140" s="18">
        <v>1</v>
      </c>
      <c r="G140" s="18">
        <v>1</v>
      </c>
      <c r="H140" s="18">
        <v>1</v>
      </c>
      <c r="I140" s="18">
        <v>1</v>
      </c>
      <c r="J140" s="18">
        <v>1</v>
      </c>
      <c r="K140" s="18">
        <v>1</v>
      </c>
      <c r="L140" s="18">
        <v>1</v>
      </c>
      <c r="M140" s="18">
        <v>1</v>
      </c>
      <c r="N140" s="18">
        <v>1</v>
      </c>
      <c r="O140" s="18">
        <v>1</v>
      </c>
      <c r="P140" s="18">
        <v>1</v>
      </c>
      <c r="Q140" s="130">
        <f>+SUM(D140:P140)</f>
        <v>13</v>
      </c>
      <c r="R140" s="64"/>
      <c r="S140" s="135">
        <f t="shared" si="70"/>
        <v>5.1020408163265302E-3</v>
      </c>
      <c r="T140" s="140"/>
      <c r="U140" s="50"/>
    </row>
    <row r="141" spans="2:23" ht="14" customHeight="1" x14ac:dyDescent="0.15">
      <c r="B141" s="16">
        <v>3</v>
      </c>
      <c r="C141" s="17" t="str">
        <f>C131</f>
        <v>11 h 30 à 14 h 30</v>
      </c>
      <c r="D141" s="18">
        <v>1</v>
      </c>
      <c r="E141" s="18">
        <v>1</v>
      </c>
      <c r="F141" s="18">
        <v>1</v>
      </c>
      <c r="G141" s="18">
        <v>1</v>
      </c>
      <c r="H141" s="18">
        <v>1</v>
      </c>
      <c r="I141" s="18">
        <v>1</v>
      </c>
      <c r="J141" s="18">
        <v>1</v>
      </c>
      <c r="K141" s="18">
        <v>1</v>
      </c>
      <c r="L141" s="18">
        <v>1</v>
      </c>
      <c r="M141" s="18">
        <v>1</v>
      </c>
      <c r="N141" s="18">
        <v>1</v>
      </c>
      <c r="O141" s="18">
        <v>1</v>
      </c>
      <c r="P141" s="18">
        <v>1</v>
      </c>
      <c r="Q141" s="130">
        <f t="shared" ref="Q141:Q145" si="71">+SUM(D141:P141)</f>
        <v>13</v>
      </c>
      <c r="R141" s="64"/>
      <c r="S141" s="135">
        <f t="shared" si="70"/>
        <v>5.1020408163265302E-3</v>
      </c>
      <c r="T141" s="140"/>
      <c r="U141" s="50"/>
    </row>
    <row r="142" spans="2:23" ht="14" customHeight="1" x14ac:dyDescent="0.15">
      <c r="B142" s="16">
        <v>4</v>
      </c>
      <c r="C142" s="17" t="str">
        <f t="shared" si="69"/>
        <v>14 h 30 à 17 h</v>
      </c>
      <c r="D142" s="18">
        <v>1</v>
      </c>
      <c r="E142" s="18">
        <v>1</v>
      </c>
      <c r="F142" s="18">
        <v>1</v>
      </c>
      <c r="G142" s="18">
        <v>1</v>
      </c>
      <c r="H142" s="18">
        <v>1</v>
      </c>
      <c r="I142" s="18">
        <v>1</v>
      </c>
      <c r="J142" s="18">
        <v>1</v>
      </c>
      <c r="K142" s="18">
        <v>1</v>
      </c>
      <c r="L142" s="18">
        <v>1</v>
      </c>
      <c r="M142" s="18">
        <v>1</v>
      </c>
      <c r="N142" s="18">
        <v>1</v>
      </c>
      <c r="O142" s="18">
        <v>1</v>
      </c>
      <c r="P142" s="18">
        <v>1</v>
      </c>
      <c r="Q142" s="130">
        <f t="shared" si="71"/>
        <v>13</v>
      </c>
      <c r="R142" s="64"/>
      <c r="S142" s="135">
        <f t="shared" si="70"/>
        <v>5.1020408163265302E-3</v>
      </c>
      <c r="T142" s="140"/>
      <c r="U142" s="50"/>
    </row>
    <row r="143" spans="2:23" ht="14" customHeight="1" x14ac:dyDescent="0.15">
      <c r="B143" s="16">
        <v>5</v>
      </c>
      <c r="C143" s="17" t="str">
        <f t="shared" si="69"/>
        <v>17 h à 19 h</v>
      </c>
      <c r="D143" s="18">
        <v>1</v>
      </c>
      <c r="E143" s="18">
        <v>1</v>
      </c>
      <c r="F143" s="18">
        <v>1</v>
      </c>
      <c r="G143" s="18">
        <v>1</v>
      </c>
      <c r="H143" s="18">
        <v>1</v>
      </c>
      <c r="I143" s="18">
        <v>1</v>
      </c>
      <c r="J143" s="18">
        <v>1</v>
      </c>
      <c r="K143" s="18">
        <v>1</v>
      </c>
      <c r="L143" s="18">
        <v>1</v>
      </c>
      <c r="M143" s="18">
        <v>1</v>
      </c>
      <c r="N143" s="18">
        <v>1</v>
      </c>
      <c r="O143" s="18">
        <v>1</v>
      </c>
      <c r="P143" s="18">
        <v>1</v>
      </c>
      <c r="Q143" s="130">
        <f t="shared" si="71"/>
        <v>13</v>
      </c>
      <c r="R143" s="64"/>
      <c r="S143" s="135">
        <f t="shared" si="70"/>
        <v>5.1020408163265302E-3</v>
      </c>
      <c r="T143" s="140"/>
      <c r="U143" s="50"/>
    </row>
    <row r="144" spans="2:23" ht="14" customHeight="1" x14ac:dyDescent="0.15">
      <c r="B144" s="16">
        <v>6</v>
      </c>
      <c r="C144" s="17" t="str">
        <f t="shared" si="69"/>
        <v>19 h à 23 h</v>
      </c>
      <c r="D144" s="18">
        <v>1</v>
      </c>
      <c r="E144" s="18">
        <v>1</v>
      </c>
      <c r="F144" s="18">
        <v>1</v>
      </c>
      <c r="G144" s="18">
        <v>1</v>
      </c>
      <c r="H144" s="18">
        <v>1</v>
      </c>
      <c r="I144" s="18">
        <v>1</v>
      </c>
      <c r="J144" s="18">
        <v>1</v>
      </c>
      <c r="K144" s="18">
        <v>1</v>
      </c>
      <c r="L144" s="18">
        <v>1</v>
      </c>
      <c r="M144" s="18">
        <v>1</v>
      </c>
      <c r="N144" s="18">
        <v>1</v>
      </c>
      <c r="O144" s="18">
        <v>1</v>
      </c>
      <c r="P144" s="18">
        <v>1</v>
      </c>
      <c r="Q144" s="130">
        <f t="shared" si="71"/>
        <v>13</v>
      </c>
      <c r="R144" s="64"/>
      <c r="S144" s="135">
        <f t="shared" si="70"/>
        <v>5.1020408163265302E-3</v>
      </c>
      <c r="T144" s="140"/>
      <c r="U144" s="50"/>
    </row>
    <row r="145" spans="2:22" ht="14" customHeight="1" x14ac:dyDescent="0.15">
      <c r="B145" s="16">
        <v>7</v>
      </c>
      <c r="C145" s="17" t="str">
        <f t="shared" si="69"/>
        <v>23 h à 6 h</v>
      </c>
      <c r="D145" s="18">
        <v>1</v>
      </c>
      <c r="E145" s="18">
        <v>1</v>
      </c>
      <c r="F145" s="18">
        <v>1</v>
      </c>
      <c r="G145" s="18">
        <v>1</v>
      </c>
      <c r="H145" s="18">
        <v>1</v>
      </c>
      <c r="I145" s="18">
        <v>1</v>
      </c>
      <c r="J145" s="18">
        <v>1</v>
      </c>
      <c r="K145" s="18">
        <v>1</v>
      </c>
      <c r="L145" s="18">
        <v>1</v>
      </c>
      <c r="M145" s="18">
        <v>1</v>
      </c>
      <c r="N145" s="18">
        <v>1</v>
      </c>
      <c r="O145" s="18">
        <v>1</v>
      </c>
      <c r="P145" s="18">
        <v>1</v>
      </c>
      <c r="Q145" s="130">
        <f t="shared" si="71"/>
        <v>13</v>
      </c>
      <c r="R145" s="64"/>
      <c r="S145" s="135">
        <f t="shared" si="70"/>
        <v>5.1020408163265302E-3</v>
      </c>
      <c r="T145" s="140"/>
      <c r="U145" s="50"/>
    </row>
    <row r="146" spans="2:22" ht="14" customHeight="1" thickBot="1" x14ac:dyDescent="0.2">
      <c r="B146" s="19"/>
      <c r="C146" s="20" t="str">
        <f>+C136</f>
        <v>Total</v>
      </c>
      <c r="D146" s="31">
        <f t="shared" ref="D146:L146" si="72">+D139+D140+D141+D142+D143+D144+D145</f>
        <v>7</v>
      </c>
      <c r="E146" s="31">
        <f t="shared" si="72"/>
        <v>7</v>
      </c>
      <c r="F146" s="31">
        <f t="shared" si="72"/>
        <v>7</v>
      </c>
      <c r="G146" s="31">
        <f t="shared" si="72"/>
        <v>7</v>
      </c>
      <c r="H146" s="31">
        <f t="shared" si="72"/>
        <v>7</v>
      </c>
      <c r="I146" s="31">
        <f t="shared" si="72"/>
        <v>7</v>
      </c>
      <c r="J146" s="31">
        <f t="shared" si="72"/>
        <v>7</v>
      </c>
      <c r="K146" s="31">
        <f t="shared" si="72"/>
        <v>7</v>
      </c>
      <c r="L146" s="31">
        <f t="shared" si="72"/>
        <v>7</v>
      </c>
      <c r="M146" s="31">
        <f>+M139+M140+M141+M142+M143+M144+M145</f>
        <v>7</v>
      </c>
      <c r="N146" s="31">
        <f>+N139+N140+N141+N142+N143+N144+N145</f>
        <v>7</v>
      </c>
      <c r="O146" s="31">
        <f>+O139+O140+O141+O142+O143+O144+O145</f>
        <v>7</v>
      </c>
      <c r="P146" s="31">
        <f>+P139+P140+P141+P142+P143+P144+P145</f>
        <v>7</v>
      </c>
      <c r="Q146" s="116">
        <f>+SUM(D146:P146)</f>
        <v>91</v>
      </c>
      <c r="R146" s="66"/>
      <c r="S146" s="137" t="s">
        <v>1</v>
      </c>
      <c r="T146" s="138">
        <f t="shared" si="44"/>
        <v>3.5714285714285712E-2</v>
      </c>
      <c r="U146" s="52"/>
    </row>
    <row r="147" spans="2:22" ht="14" customHeight="1" thickTop="1" thickBot="1" x14ac:dyDescent="0.2">
      <c r="B147" s="33" t="s">
        <v>1</v>
      </c>
      <c r="C147" s="34" t="str">
        <f>C83</f>
        <v>Mardi</v>
      </c>
      <c r="D147" s="25" t="s">
        <v>1</v>
      </c>
      <c r="E147" s="25" t="s">
        <v>1</v>
      </c>
      <c r="F147" s="25" t="s">
        <v>1</v>
      </c>
      <c r="G147" s="25" t="s">
        <v>1</v>
      </c>
      <c r="H147" s="25" t="s">
        <v>1</v>
      </c>
      <c r="I147" s="25" t="s">
        <v>1</v>
      </c>
      <c r="J147" s="25" t="s">
        <v>1</v>
      </c>
      <c r="K147" s="25" t="s">
        <v>1</v>
      </c>
      <c r="L147" s="25" t="s">
        <v>1</v>
      </c>
      <c r="M147" s="25" t="s">
        <v>1</v>
      </c>
      <c r="N147" s="25" t="s">
        <v>1</v>
      </c>
      <c r="O147" s="25" t="s">
        <v>1</v>
      </c>
      <c r="P147" s="120" t="s">
        <v>1</v>
      </c>
      <c r="Q147" s="121"/>
      <c r="R147" s="57"/>
      <c r="S147" s="23" t="s">
        <v>1</v>
      </c>
      <c r="T147" s="26" t="s">
        <v>1</v>
      </c>
      <c r="U147" s="57"/>
      <c r="V147" s="57" t="s">
        <v>1</v>
      </c>
    </row>
    <row r="148" spans="2:22" ht="14" customHeight="1" thickTop="1" thickBot="1" x14ac:dyDescent="0.2">
      <c r="B148" s="27">
        <v>1</v>
      </c>
      <c r="C148" s="14" t="str">
        <f t="shared" ref="C148:C154" si="73">C139</f>
        <v>6 h à 9 h 30</v>
      </c>
      <c r="D148" s="15">
        <v>1</v>
      </c>
      <c r="E148" s="15">
        <v>1</v>
      </c>
      <c r="F148" s="15">
        <v>1</v>
      </c>
      <c r="G148" s="15">
        <v>1</v>
      </c>
      <c r="H148" s="15">
        <v>1</v>
      </c>
      <c r="I148" s="15">
        <v>1</v>
      </c>
      <c r="J148" s="15">
        <v>1</v>
      </c>
      <c r="K148" s="15">
        <v>1</v>
      </c>
      <c r="L148" s="15">
        <v>1</v>
      </c>
      <c r="M148" s="15">
        <v>1</v>
      </c>
      <c r="N148" s="15">
        <v>1</v>
      </c>
      <c r="O148" s="15">
        <v>1</v>
      </c>
      <c r="P148" s="15">
        <v>1</v>
      </c>
      <c r="Q148" s="129">
        <f>+SUM(D148:P148)</f>
        <v>13</v>
      </c>
      <c r="R148" s="64"/>
      <c r="S148" s="133">
        <f t="shared" ref="S148:S154" si="74">SUM(D148:P148)/$Q$267</f>
        <v>5.1020408163265302E-3</v>
      </c>
      <c r="T148" s="139"/>
      <c r="U148" s="50"/>
    </row>
    <row r="149" spans="2:22" ht="14" customHeight="1" thickTop="1" thickBot="1" x14ac:dyDescent="0.2">
      <c r="B149" s="28">
        <v>2</v>
      </c>
      <c r="C149" s="17" t="str">
        <f t="shared" si="73"/>
        <v>9 h 30 à 11 h 30</v>
      </c>
      <c r="D149" s="18">
        <v>1</v>
      </c>
      <c r="E149" s="18">
        <v>1</v>
      </c>
      <c r="F149" s="18">
        <v>1</v>
      </c>
      <c r="G149" s="18">
        <v>1</v>
      </c>
      <c r="H149" s="18">
        <v>1</v>
      </c>
      <c r="I149" s="18">
        <v>1</v>
      </c>
      <c r="J149" s="18">
        <v>1</v>
      </c>
      <c r="K149" s="18">
        <v>1</v>
      </c>
      <c r="L149" s="18">
        <v>1</v>
      </c>
      <c r="M149" s="18">
        <v>1</v>
      </c>
      <c r="N149" s="18">
        <v>1</v>
      </c>
      <c r="O149" s="18">
        <v>1</v>
      </c>
      <c r="P149" s="18">
        <v>1</v>
      </c>
      <c r="Q149" s="130">
        <f>+SUM(D149:P149)</f>
        <v>13</v>
      </c>
      <c r="R149" s="64"/>
      <c r="S149" s="135">
        <f t="shared" si="74"/>
        <v>5.1020408163265302E-3</v>
      </c>
      <c r="T149" s="140"/>
      <c r="U149" s="50"/>
    </row>
    <row r="150" spans="2:22" ht="14" customHeight="1" thickTop="1" thickBot="1" x14ac:dyDescent="0.2">
      <c r="B150" s="28">
        <v>3</v>
      </c>
      <c r="C150" s="17" t="str">
        <f t="shared" si="73"/>
        <v>11 h 30 à 14 h 30</v>
      </c>
      <c r="D150" s="18">
        <v>1</v>
      </c>
      <c r="E150" s="18">
        <v>1</v>
      </c>
      <c r="F150" s="18">
        <v>1</v>
      </c>
      <c r="G150" s="18">
        <v>1</v>
      </c>
      <c r="H150" s="18">
        <v>1</v>
      </c>
      <c r="I150" s="18">
        <v>1</v>
      </c>
      <c r="J150" s="18">
        <v>1</v>
      </c>
      <c r="K150" s="18">
        <v>1</v>
      </c>
      <c r="L150" s="18">
        <v>1</v>
      </c>
      <c r="M150" s="18">
        <v>1</v>
      </c>
      <c r="N150" s="18">
        <v>1</v>
      </c>
      <c r="O150" s="18">
        <v>1</v>
      </c>
      <c r="P150" s="18">
        <v>1</v>
      </c>
      <c r="Q150" s="130">
        <f t="shared" ref="Q150:Q154" si="75">+SUM(D150:P150)</f>
        <v>13</v>
      </c>
      <c r="R150" s="64"/>
      <c r="S150" s="135">
        <f t="shared" si="74"/>
        <v>5.1020408163265302E-3</v>
      </c>
      <c r="T150" s="140"/>
      <c r="U150" s="50"/>
    </row>
    <row r="151" spans="2:22" ht="14" customHeight="1" thickTop="1" thickBot="1" x14ac:dyDescent="0.2">
      <c r="B151" s="28">
        <v>4</v>
      </c>
      <c r="C151" s="17" t="str">
        <f t="shared" si="73"/>
        <v>14 h 30 à 17 h</v>
      </c>
      <c r="D151" s="18">
        <v>1</v>
      </c>
      <c r="E151" s="18">
        <v>1</v>
      </c>
      <c r="F151" s="18">
        <v>1</v>
      </c>
      <c r="G151" s="18">
        <v>1</v>
      </c>
      <c r="H151" s="18">
        <v>1</v>
      </c>
      <c r="I151" s="18">
        <v>1</v>
      </c>
      <c r="J151" s="18">
        <v>1</v>
      </c>
      <c r="K151" s="18">
        <v>1</v>
      </c>
      <c r="L151" s="18">
        <v>1</v>
      </c>
      <c r="M151" s="18">
        <v>1</v>
      </c>
      <c r="N151" s="18">
        <v>1</v>
      </c>
      <c r="O151" s="18">
        <v>1</v>
      </c>
      <c r="P151" s="18">
        <v>1</v>
      </c>
      <c r="Q151" s="130">
        <f t="shared" si="75"/>
        <v>13</v>
      </c>
      <c r="R151" s="64"/>
      <c r="S151" s="135">
        <f t="shared" si="74"/>
        <v>5.1020408163265302E-3</v>
      </c>
      <c r="T151" s="140"/>
      <c r="U151" s="50"/>
    </row>
    <row r="152" spans="2:22" ht="14" customHeight="1" thickTop="1" thickBot="1" x14ac:dyDescent="0.2">
      <c r="B152" s="28">
        <v>5</v>
      </c>
      <c r="C152" s="17" t="str">
        <f t="shared" si="73"/>
        <v>17 h à 19 h</v>
      </c>
      <c r="D152" s="18">
        <v>1</v>
      </c>
      <c r="E152" s="18">
        <v>1</v>
      </c>
      <c r="F152" s="18">
        <v>1</v>
      </c>
      <c r="G152" s="18">
        <v>1</v>
      </c>
      <c r="H152" s="18">
        <v>1</v>
      </c>
      <c r="I152" s="18">
        <v>1</v>
      </c>
      <c r="J152" s="18">
        <v>1</v>
      </c>
      <c r="K152" s="18">
        <v>1</v>
      </c>
      <c r="L152" s="18">
        <v>1</v>
      </c>
      <c r="M152" s="18">
        <v>1</v>
      </c>
      <c r="N152" s="18">
        <v>1</v>
      </c>
      <c r="O152" s="18">
        <v>1</v>
      </c>
      <c r="P152" s="18">
        <v>1</v>
      </c>
      <c r="Q152" s="130">
        <f t="shared" si="75"/>
        <v>13</v>
      </c>
      <c r="R152" s="64"/>
      <c r="S152" s="135">
        <f t="shared" si="74"/>
        <v>5.1020408163265302E-3</v>
      </c>
      <c r="T152" s="140"/>
      <c r="U152" s="50"/>
    </row>
    <row r="153" spans="2:22" ht="14" customHeight="1" thickTop="1" thickBot="1" x14ac:dyDescent="0.2">
      <c r="B153" s="28">
        <v>6</v>
      </c>
      <c r="C153" s="17" t="str">
        <f t="shared" si="73"/>
        <v>19 h à 23 h</v>
      </c>
      <c r="D153" s="18">
        <v>1</v>
      </c>
      <c r="E153" s="18">
        <v>1</v>
      </c>
      <c r="F153" s="18">
        <v>1</v>
      </c>
      <c r="G153" s="18">
        <v>1</v>
      </c>
      <c r="H153" s="18">
        <v>1</v>
      </c>
      <c r="I153" s="18">
        <v>1</v>
      </c>
      <c r="J153" s="18">
        <v>1</v>
      </c>
      <c r="K153" s="18">
        <v>1</v>
      </c>
      <c r="L153" s="18">
        <v>1</v>
      </c>
      <c r="M153" s="18">
        <v>1</v>
      </c>
      <c r="N153" s="18">
        <v>1</v>
      </c>
      <c r="O153" s="18">
        <v>1</v>
      </c>
      <c r="P153" s="18">
        <v>1</v>
      </c>
      <c r="Q153" s="130">
        <f t="shared" si="75"/>
        <v>13</v>
      </c>
      <c r="R153" s="64"/>
      <c r="S153" s="135">
        <f t="shared" si="74"/>
        <v>5.1020408163265302E-3</v>
      </c>
      <c r="T153" s="140"/>
      <c r="U153" s="50"/>
    </row>
    <row r="154" spans="2:22" ht="14" customHeight="1" thickTop="1" thickBot="1" x14ac:dyDescent="0.2">
      <c r="B154" s="28">
        <v>7</v>
      </c>
      <c r="C154" s="17" t="str">
        <f t="shared" si="73"/>
        <v>23 h à 6 h</v>
      </c>
      <c r="D154" s="18">
        <v>1</v>
      </c>
      <c r="E154" s="18">
        <v>1</v>
      </c>
      <c r="F154" s="18">
        <v>1</v>
      </c>
      <c r="G154" s="18">
        <v>1</v>
      </c>
      <c r="H154" s="18">
        <v>1</v>
      </c>
      <c r="I154" s="18">
        <v>1</v>
      </c>
      <c r="J154" s="18">
        <v>1</v>
      </c>
      <c r="K154" s="18">
        <v>1</v>
      </c>
      <c r="L154" s="18">
        <v>1</v>
      </c>
      <c r="M154" s="18">
        <v>1</v>
      </c>
      <c r="N154" s="18">
        <v>1</v>
      </c>
      <c r="O154" s="18">
        <v>1</v>
      </c>
      <c r="P154" s="18">
        <v>1</v>
      </c>
      <c r="Q154" s="130">
        <f t="shared" si="75"/>
        <v>13</v>
      </c>
      <c r="R154" s="64"/>
      <c r="S154" s="135">
        <f t="shared" si="74"/>
        <v>5.1020408163265302E-3</v>
      </c>
      <c r="T154" s="140"/>
      <c r="U154" s="50"/>
    </row>
    <row r="155" spans="2:22" ht="14" customHeight="1" thickTop="1" thickBot="1" x14ac:dyDescent="0.2">
      <c r="B155" s="29"/>
      <c r="C155" s="36" t="str">
        <f t="shared" ref="C155" si="76">+C146</f>
        <v>Total</v>
      </c>
      <c r="D155" s="31">
        <f t="shared" ref="D155:L155" si="77">+D148+D149+D150+D151+D152+D153+D154</f>
        <v>7</v>
      </c>
      <c r="E155" s="31">
        <f t="shared" si="77"/>
        <v>7</v>
      </c>
      <c r="F155" s="31">
        <f t="shared" si="77"/>
        <v>7</v>
      </c>
      <c r="G155" s="31">
        <f t="shared" si="77"/>
        <v>7</v>
      </c>
      <c r="H155" s="31">
        <f t="shared" si="77"/>
        <v>7</v>
      </c>
      <c r="I155" s="31">
        <f t="shared" si="77"/>
        <v>7</v>
      </c>
      <c r="J155" s="31">
        <f t="shared" si="77"/>
        <v>7</v>
      </c>
      <c r="K155" s="31">
        <f t="shared" si="77"/>
        <v>7</v>
      </c>
      <c r="L155" s="31">
        <f t="shared" si="77"/>
        <v>7</v>
      </c>
      <c r="M155" s="31">
        <f>+M148+M149+M150+M151+M152+M153+M154</f>
        <v>7</v>
      </c>
      <c r="N155" s="31">
        <f>+N148+N149+N150+N151+N152+N153+N154</f>
        <v>7</v>
      </c>
      <c r="O155" s="31">
        <f>+O148+O149+O150+O151+O152+O153+O154</f>
        <v>7</v>
      </c>
      <c r="P155" s="31">
        <f>+P148+P149+P150+P151+P152+P153+P154</f>
        <v>7</v>
      </c>
      <c r="Q155" s="116">
        <f>+SUM(D155:P155)</f>
        <v>91</v>
      </c>
      <c r="R155" s="66"/>
      <c r="S155" s="137" t="s">
        <v>1</v>
      </c>
      <c r="T155" s="141">
        <f t="shared" ref="T155:T210" si="78">SUM(S148:S154)</f>
        <v>3.5714285714285712E-2</v>
      </c>
      <c r="U155" s="52"/>
    </row>
    <row r="156" spans="2:22" ht="14" customHeight="1" thickTop="1" thickBot="1" x14ac:dyDescent="0.2">
      <c r="B156" s="33" t="s">
        <v>1</v>
      </c>
      <c r="C156" s="37" t="str">
        <f>C92</f>
        <v>Mercredi</v>
      </c>
      <c r="D156" s="25" t="s">
        <v>1</v>
      </c>
      <c r="E156" s="25" t="s">
        <v>1</v>
      </c>
      <c r="F156" s="25" t="s">
        <v>1</v>
      </c>
      <c r="G156" s="25" t="s">
        <v>1</v>
      </c>
      <c r="H156" s="25" t="s">
        <v>1</v>
      </c>
      <c r="I156" s="25" t="s">
        <v>1</v>
      </c>
      <c r="J156" s="25" t="s">
        <v>1</v>
      </c>
      <c r="K156" s="25" t="s">
        <v>1</v>
      </c>
      <c r="L156" s="25" t="s">
        <v>1</v>
      </c>
      <c r="M156" s="25" t="s">
        <v>1</v>
      </c>
      <c r="N156" s="25" t="s">
        <v>1</v>
      </c>
      <c r="O156" s="25" t="s">
        <v>1</v>
      </c>
      <c r="P156" s="120" t="s">
        <v>1</v>
      </c>
      <c r="Q156" s="121"/>
      <c r="R156" s="57"/>
      <c r="S156" s="23" t="s">
        <v>1</v>
      </c>
      <c r="T156" s="26" t="s">
        <v>1</v>
      </c>
      <c r="U156" s="57"/>
    </row>
    <row r="157" spans="2:22" ht="14" customHeight="1" thickTop="1" thickBot="1" x14ac:dyDescent="0.2">
      <c r="B157" s="27">
        <v>1</v>
      </c>
      <c r="C157" s="14" t="str">
        <f t="shared" ref="C157:C163" si="79">C148</f>
        <v>6 h à 9 h 30</v>
      </c>
      <c r="D157" s="15">
        <v>1</v>
      </c>
      <c r="E157" s="15">
        <v>1</v>
      </c>
      <c r="F157" s="15">
        <v>1</v>
      </c>
      <c r="G157" s="15">
        <v>1</v>
      </c>
      <c r="H157" s="15">
        <v>1</v>
      </c>
      <c r="I157" s="15">
        <v>1</v>
      </c>
      <c r="J157" s="15">
        <v>1</v>
      </c>
      <c r="K157" s="15">
        <v>1</v>
      </c>
      <c r="L157" s="15">
        <v>1</v>
      </c>
      <c r="M157" s="15">
        <v>1</v>
      </c>
      <c r="N157" s="15">
        <v>1</v>
      </c>
      <c r="O157" s="15">
        <v>1</v>
      </c>
      <c r="P157" s="15">
        <v>1</v>
      </c>
      <c r="Q157" s="129">
        <f>+SUM(D157:P157)</f>
        <v>13</v>
      </c>
      <c r="R157" s="64"/>
      <c r="S157" s="133">
        <f t="shared" ref="S157:S163" si="80">SUM(D157:P157)/$Q$267</f>
        <v>5.1020408163265302E-3</v>
      </c>
      <c r="T157" s="139"/>
      <c r="U157" s="50"/>
    </row>
    <row r="158" spans="2:22" ht="14" customHeight="1" thickTop="1" thickBot="1" x14ac:dyDescent="0.2">
      <c r="B158" s="28">
        <v>2</v>
      </c>
      <c r="C158" s="17" t="str">
        <f t="shared" si="79"/>
        <v>9 h 30 à 11 h 30</v>
      </c>
      <c r="D158" s="18">
        <v>1</v>
      </c>
      <c r="E158" s="18">
        <v>1</v>
      </c>
      <c r="F158" s="18">
        <v>1</v>
      </c>
      <c r="G158" s="18">
        <v>1</v>
      </c>
      <c r="H158" s="18">
        <v>1</v>
      </c>
      <c r="I158" s="18">
        <v>1</v>
      </c>
      <c r="J158" s="18">
        <v>1</v>
      </c>
      <c r="K158" s="18">
        <v>1</v>
      </c>
      <c r="L158" s="18">
        <v>1</v>
      </c>
      <c r="M158" s="18">
        <v>1</v>
      </c>
      <c r="N158" s="18">
        <v>1</v>
      </c>
      <c r="O158" s="18">
        <v>1</v>
      </c>
      <c r="P158" s="18">
        <v>1</v>
      </c>
      <c r="Q158" s="130">
        <f>+SUM(D158:P158)</f>
        <v>13</v>
      </c>
      <c r="R158" s="64"/>
      <c r="S158" s="135">
        <f t="shared" si="80"/>
        <v>5.1020408163265302E-3</v>
      </c>
      <c r="T158" s="140"/>
      <c r="U158" s="50"/>
    </row>
    <row r="159" spans="2:22" ht="14" customHeight="1" thickTop="1" thickBot="1" x14ac:dyDescent="0.2">
      <c r="B159" s="28">
        <v>3</v>
      </c>
      <c r="C159" s="17" t="str">
        <f t="shared" si="79"/>
        <v>11 h 30 à 14 h 30</v>
      </c>
      <c r="D159" s="18">
        <v>1</v>
      </c>
      <c r="E159" s="18">
        <v>1</v>
      </c>
      <c r="F159" s="18">
        <v>1</v>
      </c>
      <c r="G159" s="18">
        <v>1</v>
      </c>
      <c r="H159" s="18">
        <v>1</v>
      </c>
      <c r="I159" s="18">
        <v>1</v>
      </c>
      <c r="J159" s="18">
        <v>1</v>
      </c>
      <c r="K159" s="18">
        <v>1</v>
      </c>
      <c r="L159" s="18">
        <v>1</v>
      </c>
      <c r="M159" s="18">
        <v>1</v>
      </c>
      <c r="N159" s="18">
        <v>1</v>
      </c>
      <c r="O159" s="18">
        <v>1</v>
      </c>
      <c r="P159" s="18">
        <v>1</v>
      </c>
      <c r="Q159" s="130">
        <f t="shared" ref="Q159:Q163" si="81">+SUM(D159:P159)</f>
        <v>13</v>
      </c>
      <c r="R159" s="64"/>
      <c r="S159" s="135">
        <f t="shared" si="80"/>
        <v>5.1020408163265302E-3</v>
      </c>
      <c r="T159" s="140"/>
      <c r="U159" s="50"/>
    </row>
    <row r="160" spans="2:22" ht="14" customHeight="1" thickTop="1" thickBot="1" x14ac:dyDescent="0.2">
      <c r="B160" s="28">
        <v>4</v>
      </c>
      <c r="C160" s="17" t="str">
        <f t="shared" si="79"/>
        <v>14 h 30 à 17 h</v>
      </c>
      <c r="D160" s="18">
        <v>1</v>
      </c>
      <c r="E160" s="18">
        <v>1</v>
      </c>
      <c r="F160" s="18">
        <v>1</v>
      </c>
      <c r="G160" s="18">
        <v>1</v>
      </c>
      <c r="H160" s="18">
        <v>1</v>
      </c>
      <c r="I160" s="18">
        <v>1</v>
      </c>
      <c r="J160" s="18">
        <v>1</v>
      </c>
      <c r="K160" s="18">
        <v>1</v>
      </c>
      <c r="L160" s="18">
        <v>1</v>
      </c>
      <c r="M160" s="18">
        <v>1</v>
      </c>
      <c r="N160" s="18">
        <v>1</v>
      </c>
      <c r="O160" s="18">
        <v>1</v>
      </c>
      <c r="P160" s="18">
        <v>1</v>
      </c>
      <c r="Q160" s="130">
        <f t="shared" si="81"/>
        <v>13</v>
      </c>
      <c r="R160" s="64"/>
      <c r="S160" s="135">
        <f t="shared" si="80"/>
        <v>5.1020408163265302E-3</v>
      </c>
      <c r="T160" s="140"/>
      <c r="U160" s="50"/>
    </row>
    <row r="161" spans="2:24" ht="14" customHeight="1" thickTop="1" thickBot="1" x14ac:dyDescent="0.2">
      <c r="B161" s="28">
        <v>5</v>
      </c>
      <c r="C161" s="17" t="str">
        <f t="shared" si="79"/>
        <v>17 h à 19 h</v>
      </c>
      <c r="D161" s="18">
        <v>1</v>
      </c>
      <c r="E161" s="18">
        <v>1</v>
      </c>
      <c r="F161" s="18">
        <v>1</v>
      </c>
      <c r="G161" s="18">
        <v>1</v>
      </c>
      <c r="H161" s="18">
        <v>1</v>
      </c>
      <c r="I161" s="18">
        <v>1</v>
      </c>
      <c r="J161" s="18">
        <v>1</v>
      </c>
      <c r="K161" s="18">
        <v>1</v>
      </c>
      <c r="L161" s="18">
        <v>1</v>
      </c>
      <c r="M161" s="18">
        <v>1</v>
      </c>
      <c r="N161" s="18">
        <v>1</v>
      </c>
      <c r="O161" s="18">
        <v>1</v>
      </c>
      <c r="P161" s="18">
        <v>1</v>
      </c>
      <c r="Q161" s="130">
        <f t="shared" si="81"/>
        <v>13</v>
      </c>
      <c r="R161" s="64"/>
      <c r="S161" s="135">
        <f t="shared" si="80"/>
        <v>5.1020408163265302E-3</v>
      </c>
      <c r="T161" s="140"/>
      <c r="U161" s="50"/>
    </row>
    <row r="162" spans="2:24" ht="14" customHeight="1" thickTop="1" thickBot="1" x14ac:dyDescent="0.2">
      <c r="B162" s="28">
        <v>6</v>
      </c>
      <c r="C162" s="17" t="str">
        <f t="shared" si="79"/>
        <v>19 h à 23 h</v>
      </c>
      <c r="D162" s="18">
        <v>1</v>
      </c>
      <c r="E162" s="18">
        <v>1</v>
      </c>
      <c r="F162" s="18">
        <v>1</v>
      </c>
      <c r="G162" s="18">
        <v>1</v>
      </c>
      <c r="H162" s="18">
        <v>1</v>
      </c>
      <c r="I162" s="18">
        <v>1</v>
      </c>
      <c r="J162" s="18">
        <v>1</v>
      </c>
      <c r="K162" s="18">
        <v>1</v>
      </c>
      <c r="L162" s="18">
        <v>1</v>
      </c>
      <c r="M162" s="18">
        <v>1</v>
      </c>
      <c r="N162" s="18">
        <v>1</v>
      </c>
      <c r="O162" s="18">
        <v>1</v>
      </c>
      <c r="P162" s="18">
        <v>1</v>
      </c>
      <c r="Q162" s="130">
        <f t="shared" si="81"/>
        <v>13</v>
      </c>
      <c r="R162" s="64"/>
      <c r="S162" s="135">
        <f t="shared" si="80"/>
        <v>5.1020408163265302E-3</v>
      </c>
      <c r="T162" s="140"/>
      <c r="U162" s="50"/>
    </row>
    <row r="163" spans="2:24" ht="14" customHeight="1" thickTop="1" thickBot="1" x14ac:dyDescent="0.2">
      <c r="B163" s="28">
        <v>7</v>
      </c>
      <c r="C163" s="17" t="str">
        <f t="shared" si="79"/>
        <v>23 h à 6 h</v>
      </c>
      <c r="D163" s="18">
        <v>1</v>
      </c>
      <c r="E163" s="18">
        <v>1</v>
      </c>
      <c r="F163" s="18">
        <v>1</v>
      </c>
      <c r="G163" s="18">
        <v>1</v>
      </c>
      <c r="H163" s="18">
        <v>1</v>
      </c>
      <c r="I163" s="18">
        <v>1</v>
      </c>
      <c r="J163" s="18">
        <v>1</v>
      </c>
      <c r="K163" s="18">
        <v>1</v>
      </c>
      <c r="L163" s="18">
        <v>1</v>
      </c>
      <c r="M163" s="18">
        <v>1</v>
      </c>
      <c r="N163" s="18">
        <v>1</v>
      </c>
      <c r="O163" s="18">
        <v>1</v>
      </c>
      <c r="P163" s="18">
        <v>1</v>
      </c>
      <c r="Q163" s="130">
        <f t="shared" si="81"/>
        <v>13</v>
      </c>
      <c r="R163" s="64"/>
      <c r="S163" s="135">
        <f t="shared" si="80"/>
        <v>5.1020408163265302E-3</v>
      </c>
      <c r="T163" s="140"/>
      <c r="U163" s="50"/>
    </row>
    <row r="164" spans="2:24" ht="14" customHeight="1" thickTop="1" thickBot="1" x14ac:dyDescent="0.2">
      <c r="B164" s="29"/>
      <c r="C164" s="30" t="str">
        <f t="shared" ref="C164" si="82">+C146</f>
        <v>Total</v>
      </c>
      <c r="D164" s="31">
        <f t="shared" ref="D164:L164" si="83">+D157+D158+D159+D160+D161+D162+D163</f>
        <v>7</v>
      </c>
      <c r="E164" s="31">
        <f t="shared" si="83"/>
        <v>7</v>
      </c>
      <c r="F164" s="31">
        <f t="shared" si="83"/>
        <v>7</v>
      </c>
      <c r="G164" s="31">
        <f t="shared" si="83"/>
        <v>7</v>
      </c>
      <c r="H164" s="31">
        <f t="shared" si="83"/>
        <v>7</v>
      </c>
      <c r="I164" s="31">
        <f t="shared" si="83"/>
        <v>7</v>
      </c>
      <c r="J164" s="31">
        <f t="shared" si="83"/>
        <v>7</v>
      </c>
      <c r="K164" s="31">
        <f t="shared" si="83"/>
        <v>7</v>
      </c>
      <c r="L164" s="31">
        <f t="shared" si="83"/>
        <v>7</v>
      </c>
      <c r="M164" s="31">
        <f>+M157+M158+M159+M160+M161+M162+M163</f>
        <v>7</v>
      </c>
      <c r="N164" s="31">
        <f>+N157+N158+N159+N160+N161+N162+N163</f>
        <v>7</v>
      </c>
      <c r="O164" s="31">
        <f>+O157+O158+O159+O160+O161+O162+O163</f>
        <v>7</v>
      </c>
      <c r="P164" s="31">
        <f>+P157+P158+P159+P160+P161+P162+P163</f>
        <v>7</v>
      </c>
      <c r="Q164" s="116">
        <f>+SUM(D164:P164)</f>
        <v>91</v>
      </c>
      <c r="R164" s="66"/>
      <c r="S164" s="137" t="s">
        <v>1</v>
      </c>
      <c r="T164" s="138">
        <f t="shared" si="78"/>
        <v>3.5714285714285712E-2</v>
      </c>
      <c r="U164" s="52"/>
    </row>
    <row r="165" spans="2:24" ht="14" customHeight="1" thickTop="1" thickBot="1" x14ac:dyDescent="0.2">
      <c r="B165" s="33" t="s">
        <v>1</v>
      </c>
      <c r="C165" s="34" t="str">
        <f>C101</f>
        <v>Jeudi</v>
      </c>
      <c r="D165" s="25" t="s">
        <v>1</v>
      </c>
      <c r="E165" s="25" t="s">
        <v>1</v>
      </c>
      <c r="F165" s="25" t="s">
        <v>1</v>
      </c>
      <c r="G165" s="25" t="s">
        <v>1</v>
      </c>
      <c r="H165" s="25" t="s">
        <v>1</v>
      </c>
      <c r="I165" s="25" t="s">
        <v>1</v>
      </c>
      <c r="J165" s="25" t="s">
        <v>1</v>
      </c>
      <c r="K165" s="25" t="s">
        <v>1</v>
      </c>
      <c r="L165" s="25" t="s">
        <v>1</v>
      </c>
      <c r="M165" s="25" t="s">
        <v>1</v>
      </c>
      <c r="N165" s="25" t="s">
        <v>1</v>
      </c>
      <c r="O165" s="25" t="s">
        <v>1</v>
      </c>
      <c r="P165" s="120" t="s">
        <v>1</v>
      </c>
      <c r="Q165" s="121"/>
      <c r="R165" s="57"/>
      <c r="S165" s="23" t="s">
        <v>1</v>
      </c>
      <c r="T165" s="26" t="s">
        <v>1</v>
      </c>
      <c r="U165" s="57" t="s">
        <v>1</v>
      </c>
      <c r="V165" s="57" t="s">
        <v>1</v>
      </c>
      <c r="W165" s="57" t="s">
        <v>1</v>
      </c>
      <c r="X165" s="58"/>
    </row>
    <row r="166" spans="2:24" ht="14" customHeight="1" thickTop="1" thickBot="1" x14ac:dyDescent="0.2">
      <c r="B166" s="27">
        <v>1</v>
      </c>
      <c r="C166" s="14" t="str">
        <f t="shared" ref="C166:C172" si="84">C157</f>
        <v>6 h à 9 h 30</v>
      </c>
      <c r="D166" s="15">
        <v>1</v>
      </c>
      <c r="E166" s="15">
        <v>1</v>
      </c>
      <c r="F166" s="15">
        <v>1</v>
      </c>
      <c r="G166" s="15">
        <v>1</v>
      </c>
      <c r="H166" s="15">
        <v>1</v>
      </c>
      <c r="I166" s="15">
        <v>1</v>
      </c>
      <c r="J166" s="15">
        <v>1</v>
      </c>
      <c r="K166" s="15">
        <v>1</v>
      </c>
      <c r="L166" s="15">
        <v>1</v>
      </c>
      <c r="M166" s="15">
        <v>1</v>
      </c>
      <c r="N166" s="15">
        <v>1</v>
      </c>
      <c r="O166" s="15">
        <v>1</v>
      </c>
      <c r="P166" s="15">
        <v>1</v>
      </c>
      <c r="Q166" s="129">
        <f>+SUM(D166:P166)</f>
        <v>13</v>
      </c>
      <c r="R166" s="64"/>
      <c r="S166" s="133">
        <f t="shared" ref="S166:S172" si="85">SUM(D166:P166)/$Q$267</f>
        <v>5.1020408163265302E-3</v>
      </c>
      <c r="T166" s="139"/>
      <c r="U166" s="50"/>
    </row>
    <row r="167" spans="2:24" ht="14" customHeight="1" thickTop="1" thickBot="1" x14ac:dyDescent="0.2">
      <c r="B167" s="28">
        <v>2</v>
      </c>
      <c r="C167" s="17" t="str">
        <f t="shared" si="84"/>
        <v>9 h 30 à 11 h 30</v>
      </c>
      <c r="D167" s="18">
        <v>1</v>
      </c>
      <c r="E167" s="18">
        <v>1</v>
      </c>
      <c r="F167" s="18">
        <v>1</v>
      </c>
      <c r="G167" s="18">
        <v>1</v>
      </c>
      <c r="H167" s="18">
        <v>1</v>
      </c>
      <c r="I167" s="18">
        <v>1</v>
      </c>
      <c r="J167" s="18">
        <v>1</v>
      </c>
      <c r="K167" s="18">
        <v>1</v>
      </c>
      <c r="L167" s="18">
        <v>1</v>
      </c>
      <c r="M167" s="18">
        <v>1</v>
      </c>
      <c r="N167" s="18">
        <v>1</v>
      </c>
      <c r="O167" s="18">
        <v>1</v>
      </c>
      <c r="P167" s="18">
        <v>1</v>
      </c>
      <c r="Q167" s="130">
        <f>+SUM(D167:P167)</f>
        <v>13</v>
      </c>
      <c r="R167" s="64"/>
      <c r="S167" s="135">
        <f t="shared" si="85"/>
        <v>5.1020408163265302E-3</v>
      </c>
      <c r="T167" s="140"/>
      <c r="U167" s="50"/>
    </row>
    <row r="168" spans="2:24" ht="14" customHeight="1" thickTop="1" thickBot="1" x14ac:dyDescent="0.2">
      <c r="B168" s="28">
        <v>3</v>
      </c>
      <c r="C168" s="17" t="str">
        <f t="shared" si="84"/>
        <v>11 h 30 à 14 h 30</v>
      </c>
      <c r="D168" s="18">
        <v>1</v>
      </c>
      <c r="E168" s="18">
        <v>1</v>
      </c>
      <c r="F168" s="18">
        <v>1</v>
      </c>
      <c r="G168" s="18">
        <v>1</v>
      </c>
      <c r="H168" s="18">
        <v>1</v>
      </c>
      <c r="I168" s="18">
        <v>1</v>
      </c>
      <c r="J168" s="18">
        <v>1</v>
      </c>
      <c r="K168" s="18">
        <v>1</v>
      </c>
      <c r="L168" s="18">
        <v>1</v>
      </c>
      <c r="M168" s="18">
        <v>1</v>
      </c>
      <c r="N168" s="18">
        <v>1</v>
      </c>
      <c r="O168" s="18">
        <v>1</v>
      </c>
      <c r="P168" s="18">
        <v>1</v>
      </c>
      <c r="Q168" s="130">
        <f t="shared" ref="Q168:Q172" si="86">+SUM(D168:P168)</f>
        <v>13</v>
      </c>
      <c r="R168" s="64"/>
      <c r="S168" s="135">
        <f t="shared" si="85"/>
        <v>5.1020408163265302E-3</v>
      </c>
      <c r="T168" s="140"/>
      <c r="U168" s="50"/>
    </row>
    <row r="169" spans="2:24" ht="14" customHeight="1" thickTop="1" thickBot="1" x14ac:dyDescent="0.2">
      <c r="B169" s="28">
        <v>4</v>
      </c>
      <c r="C169" s="17" t="str">
        <f t="shared" si="84"/>
        <v>14 h 30 à 17 h</v>
      </c>
      <c r="D169" s="18">
        <v>1</v>
      </c>
      <c r="E169" s="18">
        <v>1</v>
      </c>
      <c r="F169" s="18">
        <v>1</v>
      </c>
      <c r="G169" s="18">
        <v>1</v>
      </c>
      <c r="H169" s="18">
        <v>1</v>
      </c>
      <c r="I169" s="18">
        <v>1</v>
      </c>
      <c r="J169" s="18">
        <v>1</v>
      </c>
      <c r="K169" s="18">
        <v>1</v>
      </c>
      <c r="L169" s="18">
        <v>1</v>
      </c>
      <c r="M169" s="18">
        <v>1</v>
      </c>
      <c r="N169" s="18">
        <v>1</v>
      </c>
      <c r="O169" s="18">
        <v>1</v>
      </c>
      <c r="P169" s="18">
        <v>1</v>
      </c>
      <c r="Q169" s="130">
        <f t="shared" si="86"/>
        <v>13</v>
      </c>
      <c r="R169" s="64"/>
      <c r="S169" s="135">
        <f t="shared" si="85"/>
        <v>5.1020408163265302E-3</v>
      </c>
      <c r="T169" s="140"/>
      <c r="U169" s="50"/>
    </row>
    <row r="170" spans="2:24" ht="14" customHeight="1" thickTop="1" thickBot="1" x14ac:dyDescent="0.2">
      <c r="B170" s="28">
        <v>5</v>
      </c>
      <c r="C170" s="17" t="str">
        <f t="shared" si="84"/>
        <v>17 h à 19 h</v>
      </c>
      <c r="D170" s="18">
        <v>1</v>
      </c>
      <c r="E170" s="18">
        <v>1</v>
      </c>
      <c r="F170" s="18">
        <v>1</v>
      </c>
      <c r="G170" s="18">
        <v>1</v>
      </c>
      <c r="H170" s="18">
        <v>1</v>
      </c>
      <c r="I170" s="18">
        <v>1</v>
      </c>
      <c r="J170" s="18">
        <v>1</v>
      </c>
      <c r="K170" s="18">
        <v>1</v>
      </c>
      <c r="L170" s="18">
        <v>1</v>
      </c>
      <c r="M170" s="18">
        <v>1</v>
      </c>
      <c r="N170" s="18">
        <v>1</v>
      </c>
      <c r="O170" s="18">
        <v>1</v>
      </c>
      <c r="P170" s="18">
        <v>1</v>
      </c>
      <c r="Q170" s="130">
        <f t="shared" si="86"/>
        <v>13</v>
      </c>
      <c r="R170" s="64"/>
      <c r="S170" s="135">
        <f t="shared" si="85"/>
        <v>5.1020408163265302E-3</v>
      </c>
      <c r="T170" s="140"/>
      <c r="U170" s="50"/>
    </row>
    <row r="171" spans="2:24" ht="14" customHeight="1" thickTop="1" thickBot="1" x14ac:dyDescent="0.2">
      <c r="B171" s="28">
        <v>6</v>
      </c>
      <c r="C171" s="17" t="str">
        <f t="shared" si="84"/>
        <v>19 h à 23 h</v>
      </c>
      <c r="D171" s="18">
        <v>1</v>
      </c>
      <c r="E171" s="18">
        <v>1</v>
      </c>
      <c r="F171" s="18">
        <v>1</v>
      </c>
      <c r="G171" s="18">
        <v>1</v>
      </c>
      <c r="H171" s="18">
        <v>1</v>
      </c>
      <c r="I171" s="18">
        <v>1</v>
      </c>
      <c r="J171" s="18">
        <v>1</v>
      </c>
      <c r="K171" s="18">
        <v>1</v>
      </c>
      <c r="L171" s="18">
        <v>1</v>
      </c>
      <c r="M171" s="18">
        <v>1</v>
      </c>
      <c r="N171" s="18">
        <v>1</v>
      </c>
      <c r="O171" s="18">
        <v>1</v>
      </c>
      <c r="P171" s="18">
        <v>1</v>
      </c>
      <c r="Q171" s="130">
        <f t="shared" si="86"/>
        <v>13</v>
      </c>
      <c r="R171" s="64"/>
      <c r="S171" s="135">
        <f t="shared" si="85"/>
        <v>5.1020408163265302E-3</v>
      </c>
      <c r="T171" s="140"/>
      <c r="U171" s="50"/>
    </row>
    <row r="172" spans="2:24" ht="14" customHeight="1" thickTop="1" thickBot="1" x14ac:dyDescent="0.2">
      <c r="B172" s="28">
        <v>7</v>
      </c>
      <c r="C172" s="17" t="str">
        <f t="shared" si="84"/>
        <v>23 h à 6 h</v>
      </c>
      <c r="D172" s="18">
        <v>1</v>
      </c>
      <c r="E172" s="18">
        <v>1</v>
      </c>
      <c r="F172" s="18">
        <v>1</v>
      </c>
      <c r="G172" s="18">
        <v>1</v>
      </c>
      <c r="H172" s="18">
        <v>1</v>
      </c>
      <c r="I172" s="18">
        <v>1</v>
      </c>
      <c r="J172" s="18">
        <v>1</v>
      </c>
      <c r="K172" s="18">
        <v>1</v>
      </c>
      <c r="L172" s="18">
        <v>1</v>
      </c>
      <c r="M172" s="18">
        <v>1</v>
      </c>
      <c r="N172" s="18">
        <v>1</v>
      </c>
      <c r="O172" s="18">
        <v>1</v>
      </c>
      <c r="P172" s="18">
        <v>1</v>
      </c>
      <c r="Q172" s="130">
        <f t="shared" si="86"/>
        <v>13</v>
      </c>
      <c r="R172" s="64"/>
      <c r="S172" s="135">
        <f t="shared" si="85"/>
        <v>5.1020408163265302E-3</v>
      </c>
      <c r="T172" s="140"/>
      <c r="U172" s="50"/>
    </row>
    <row r="173" spans="2:24" ht="14" customHeight="1" thickTop="1" thickBot="1" x14ac:dyDescent="0.2">
      <c r="B173" s="29"/>
      <c r="C173" s="60" t="str">
        <f>C164</f>
        <v>Total</v>
      </c>
      <c r="D173" s="31">
        <f t="shared" ref="D173:L173" si="87">+D166+D167+D168+D169+D170+D171+D172</f>
        <v>7</v>
      </c>
      <c r="E173" s="31">
        <f t="shared" si="87"/>
        <v>7</v>
      </c>
      <c r="F173" s="31">
        <f t="shared" si="87"/>
        <v>7</v>
      </c>
      <c r="G173" s="31">
        <f t="shared" si="87"/>
        <v>7</v>
      </c>
      <c r="H173" s="31">
        <f t="shared" si="87"/>
        <v>7</v>
      </c>
      <c r="I173" s="31">
        <f t="shared" si="87"/>
        <v>7</v>
      </c>
      <c r="J173" s="31">
        <f t="shared" si="87"/>
        <v>7</v>
      </c>
      <c r="K173" s="31">
        <f t="shared" si="87"/>
        <v>7</v>
      </c>
      <c r="L173" s="31">
        <f t="shared" si="87"/>
        <v>7</v>
      </c>
      <c r="M173" s="31">
        <f>+M166+M167+M168+M169+M170+M171+M172</f>
        <v>7</v>
      </c>
      <c r="N173" s="31">
        <f>+N166+N167+N168+N169+N170+N171+N172</f>
        <v>7</v>
      </c>
      <c r="O173" s="31">
        <f>+O166+O167+O168+O169+O170+O171+O172</f>
        <v>7</v>
      </c>
      <c r="P173" s="31">
        <f>+P166+P167+P168+P169+P170+P171+P172</f>
        <v>7</v>
      </c>
      <c r="Q173" s="116">
        <f>+SUM(D173:P173)</f>
        <v>91</v>
      </c>
      <c r="R173" s="66"/>
      <c r="S173" s="137" t="s">
        <v>1</v>
      </c>
      <c r="T173" s="141">
        <f t="shared" si="78"/>
        <v>3.5714285714285712E-2</v>
      </c>
      <c r="U173" s="52"/>
    </row>
    <row r="174" spans="2:24" ht="14" customHeight="1" thickTop="1" thickBot="1" x14ac:dyDescent="0.2">
      <c r="B174" s="33" t="s">
        <v>1</v>
      </c>
      <c r="C174" s="37" t="str">
        <f>C110</f>
        <v>Vendredi</v>
      </c>
      <c r="D174" s="25" t="s">
        <v>1</v>
      </c>
      <c r="E174" s="25" t="s">
        <v>1</v>
      </c>
      <c r="F174" s="25" t="s">
        <v>1</v>
      </c>
      <c r="G174" s="25" t="s">
        <v>1</v>
      </c>
      <c r="H174" s="25" t="s">
        <v>1</v>
      </c>
      <c r="I174" s="25" t="s">
        <v>1</v>
      </c>
      <c r="J174" s="25" t="s">
        <v>1</v>
      </c>
      <c r="K174" s="25" t="s">
        <v>1</v>
      </c>
      <c r="L174" s="25" t="s">
        <v>1</v>
      </c>
      <c r="M174" s="25" t="s">
        <v>1</v>
      </c>
      <c r="N174" s="25" t="s">
        <v>1</v>
      </c>
      <c r="O174" s="25" t="s">
        <v>1</v>
      </c>
      <c r="P174" s="120" t="s">
        <v>1</v>
      </c>
      <c r="Q174" s="121"/>
      <c r="R174" s="57"/>
      <c r="S174" s="23" t="s">
        <v>1</v>
      </c>
      <c r="T174" s="26" t="s">
        <v>1</v>
      </c>
      <c r="U174" s="57" t="s">
        <v>1</v>
      </c>
      <c r="V174" s="57" t="s">
        <v>1</v>
      </c>
      <c r="W174" s="58"/>
    </row>
    <row r="175" spans="2:24" ht="14" customHeight="1" thickTop="1" thickBot="1" x14ac:dyDescent="0.2">
      <c r="B175" s="27">
        <v>1</v>
      </c>
      <c r="C175" s="14" t="str">
        <f t="shared" ref="C175:C181" si="88">C166</f>
        <v>6 h à 9 h 30</v>
      </c>
      <c r="D175" s="15">
        <v>1</v>
      </c>
      <c r="E175" s="15">
        <v>1</v>
      </c>
      <c r="F175" s="15">
        <v>1</v>
      </c>
      <c r="G175" s="15">
        <v>1</v>
      </c>
      <c r="H175" s="15">
        <v>1</v>
      </c>
      <c r="I175" s="15">
        <v>1</v>
      </c>
      <c r="J175" s="15">
        <v>1</v>
      </c>
      <c r="K175" s="15">
        <v>1</v>
      </c>
      <c r="L175" s="15">
        <v>1</v>
      </c>
      <c r="M175" s="15">
        <v>1</v>
      </c>
      <c r="N175" s="15">
        <v>1</v>
      </c>
      <c r="O175" s="15">
        <v>1</v>
      </c>
      <c r="P175" s="15">
        <v>1</v>
      </c>
      <c r="Q175" s="129">
        <f>+SUM(D175:P175)</f>
        <v>13</v>
      </c>
      <c r="R175" s="64"/>
      <c r="S175" s="142">
        <f t="shared" ref="S175:S181" si="89">SUM(D175:P175)/$Q$267</f>
        <v>5.1020408163265302E-3</v>
      </c>
      <c r="T175" s="143"/>
      <c r="U175" s="50"/>
    </row>
    <row r="176" spans="2:24" ht="14" customHeight="1" thickTop="1" thickBot="1" x14ac:dyDescent="0.2">
      <c r="B176" s="28">
        <v>2</v>
      </c>
      <c r="C176" s="17" t="str">
        <f t="shared" si="88"/>
        <v>9 h 30 à 11 h 30</v>
      </c>
      <c r="D176" s="18">
        <v>1</v>
      </c>
      <c r="E176" s="18">
        <v>1</v>
      </c>
      <c r="F176" s="18">
        <v>1</v>
      </c>
      <c r="G176" s="18">
        <v>1</v>
      </c>
      <c r="H176" s="18">
        <v>1</v>
      </c>
      <c r="I176" s="18">
        <v>1</v>
      </c>
      <c r="J176" s="18">
        <v>1</v>
      </c>
      <c r="K176" s="18">
        <v>1</v>
      </c>
      <c r="L176" s="18">
        <v>1</v>
      </c>
      <c r="M176" s="18">
        <v>1</v>
      </c>
      <c r="N176" s="18">
        <v>1</v>
      </c>
      <c r="O176" s="18">
        <v>1</v>
      </c>
      <c r="P176" s="18">
        <v>1</v>
      </c>
      <c r="Q176" s="130">
        <f>+SUM(D176:P176)</f>
        <v>13</v>
      </c>
      <c r="R176" s="64"/>
      <c r="S176" s="144">
        <f t="shared" si="89"/>
        <v>5.1020408163265302E-3</v>
      </c>
      <c r="T176" s="145"/>
      <c r="U176" s="50"/>
    </row>
    <row r="177" spans="2:24" ht="14" customHeight="1" thickTop="1" thickBot="1" x14ac:dyDescent="0.2">
      <c r="B177" s="28">
        <v>3</v>
      </c>
      <c r="C177" s="17" t="str">
        <f t="shared" si="88"/>
        <v>11 h 30 à 14 h 30</v>
      </c>
      <c r="D177" s="41">
        <v>1</v>
      </c>
      <c r="E177" s="41">
        <v>1</v>
      </c>
      <c r="F177" s="41">
        <v>1</v>
      </c>
      <c r="G177" s="41">
        <v>1</v>
      </c>
      <c r="H177" s="41">
        <v>1</v>
      </c>
      <c r="I177" s="41">
        <v>1</v>
      </c>
      <c r="J177" s="41">
        <v>1</v>
      </c>
      <c r="K177" s="41">
        <v>1</v>
      </c>
      <c r="L177" s="41">
        <v>1</v>
      </c>
      <c r="M177" s="41">
        <v>1</v>
      </c>
      <c r="N177" s="41">
        <v>1</v>
      </c>
      <c r="O177" s="41">
        <v>1</v>
      </c>
      <c r="P177" s="41">
        <v>1</v>
      </c>
      <c r="Q177" s="130">
        <f t="shared" ref="Q177:Q181" si="90">+SUM(D177:P177)</f>
        <v>13</v>
      </c>
      <c r="R177" s="64"/>
      <c r="S177" s="144">
        <f t="shared" si="89"/>
        <v>5.1020408163265302E-3</v>
      </c>
      <c r="T177" s="145"/>
      <c r="U177" s="50"/>
    </row>
    <row r="178" spans="2:24" ht="14" customHeight="1" thickTop="1" thickBot="1" x14ac:dyDescent="0.2">
      <c r="B178" s="28">
        <v>4</v>
      </c>
      <c r="C178" s="17" t="str">
        <f t="shared" si="88"/>
        <v>14 h 30 à 17 h</v>
      </c>
      <c r="D178" s="41">
        <v>1</v>
      </c>
      <c r="E178" s="41">
        <v>1</v>
      </c>
      <c r="F178" s="41">
        <v>1</v>
      </c>
      <c r="G178" s="41">
        <v>1</v>
      </c>
      <c r="H178" s="41">
        <v>1</v>
      </c>
      <c r="I178" s="41">
        <v>1</v>
      </c>
      <c r="J178" s="41">
        <v>1</v>
      </c>
      <c r="K178" s="41">
        <v>1</v>
      </c>
      <c r="L178" s="41">
        <v>1</v>
      </c>
      <c r="M178" s="41">
        <v>1</v>
      </c>
      <c r="N178" s="41">
        <v>1</v>
      </c>
      <c r="O178" s="41">
        <v>1</v>
      </c>
      <c r="P178" s="41">
        <v>1</v>
      </c>
      <c r="Q178" s="130">
        <f t="shared" si="90"/>
        <v>13</v>
      </c>
      <c r="R178" s="64"/>
      <c r="S178" s="144">
        <f t="shared" si="89"/>
        <v>5.1020408163265302E-3</v>
      </c>
      <c r="T178" s="145"/>
      <c r="U178" s="50"/>
    </row>
    <row r="179" spans="2:24" ht="14" customHeight="1" thickTop="1" thickBot="1" x14ac:dyDescent="0.2">
      <c r="B179" s="28">
        <v>5</v>
      </c>
      <c r="C179" s="17" t="str">
        <f t="shared" si="88"/>
        <v>17 h à 19 h</v>
      </c>
      <c r="D179" s="41">
        <v>1</v>
      </c>
      <c r="E179" s="41">
        <v>1</v>
      </c>
      <c r="F179" s="41">
        <v>1</v>
      </c>
      <c r="G179" s="41">
        <v>1</v>
      </c>
      <c r="H179" s="41">
        <v>1</v>
      </c>
      <c r="I179" s="41">
        <v>1</v>
      </c>
      <c r="J179" s="41">
        <v>1</v>
      </c>
      <c r="K179" s="41">
        <v>1</v>
      </c>
      <c r="L179" s="41">
        <v>1</v>
      </c>
      <c r="M179" s="41">
        <v>1</v>
      </c>
      <c r="N179" s="41">
        <v>1</v>
      </c>
      <c r="O179" s="41">
        <v>1</v>
      </c>
      <c r="P179" s="41">
        <v>1</v>
      </c>
      <c r="Q179" s="130">
        <f t="shared" si="90"/>
        <v>13</v>
      </c>
      <c r="R179" s="64"/>
      <c r="S179" s="144">
        <f t="shared" si="89"/>
        <v>5.1020408163265302E-3</v>
      </c>
      <c r="T179" s="145"/>
      <c r="U179" s="50"/>
    </row>
    <row r="180" spans="2:24" ht="14" customHeight="1" thickTop="1" thickBot="1" x14ac:dyDescent="0.2">
      <c r="B180" s="28">
        <v>6</v>
      </c>
      <c r="C180" s="17" t="str">
        <f t="shared" si="88"/>
        <v>19 h à 23 h</v>
      </c>
      <c r="D180" s="41">
        <v>1</v>
      </c>
      <c r="E180" s="41">
        <v>1</v>
      </c>
      <c r="F180" s="41">
        <v>1</v>
      </c>
      <c r="G180" s="41">
        <v>1</v>
      </c>
      <c r="H180" s="41">
        <v>1</v>
      </c>
      <c r="I180" s="41">
        <v>1</v>
      </c>
      <c r="J180" s="41">
        <v>1</v>
      </c>
      <c r="K180" s="41">
        <v>1</v>
      </c>
      <c r="L180" s="41">
        <v>1</v>
      </c>
      <c r="M180" s="41">
        <v>1</v>
      </c>
      <c r="N180" s="41">
        <v>1</v>
      </c>
      <c r="O180" s="41">
        <v>1</v>
      </c>
      <c r="P180" s="41">
        <v>1</v>
      </c>
      <c r="Q180" s="130">
        <f t="shared" si="90"/>
        <v>13</v>
      </c>
      <c r="R180" s="64"/>
      <c r="S180" s="144">
        <f t="shared" si="89"/>
        <v>5.1020408163265302E-3</v>
      </c>
      <c r="T180" s="145"/>
      <c r="U180" s="50"/>
    </row>
    <row r="181" spans="2:24" ht="14" customHeight="1" thickTop="1" thickBot="1" x14ac:dyDescent="0.2">
      <c r="B181" s="28">
        <v>7</v>
      </c>
      <c r="C181" s="17" t="str">
        <f t="shared" si="88"/>
        <v>23 h à 6 h</v>
      </c>
      <c r="D181" s="18">
        <v>1</v>
      </c>
      <c r="E181" s="18">
        <v>1</v>
      </c>
      <c r="F181" s="18">
        <v>1</v>
      </c>
      <c r="G181" s="18">
        <v>1</v>
      </c>
      <c r="H181" s="18">
        <v>1</v>
      </c>
      <c r="I181" s="18">
        <v>1</v>
      </c>
      <c r="J181" s="18">
        <v>1</v>
      </c>
      <c r="K181" s="18">
        <v>1</v>
      </c>
      <c r="L181" s="18">
        <v>1</v>
      </c>
      <c r="M181" s="18">
        <v>1</v>
      </c>
      <c r="N181" s="18">
        <v>1</v>
      </c>
      <c r="O181" s="18">
        <v>1</v>
      </c>
      <c r="P181" s="18">
        <v>1</v>
      </c>
      <c r="Q181" s="130">
        <f t="shared" si="90"/>
        <v>13</v>
      </c>
      <c r="R181" s="64"/>
      <c r="S181" s="144">
        <f t="shared" si="89"/>
        <v>5.1020408163265302E-3</v>
      </c>
      <c r="T181" s="145"/>
      <c r="U181" s="50"/>
    </row>
    <row r="182" spans="2:24" ht="14" customHeight="1" thickTop="1" thickBot="1" x14ac:dyDescent="0.2">
      <c r="B182" s="29"/>
      <c r="C182" s="30" t="str">
        <f t="shared" ref="C182" si="91">+C173</f>
        <v>Total</v>
      </c>
      <c r="D182" s="31">
        <f t="shared" ref="D182:L182" si="92">+D175+D176+D177+D178+D179+D180+D181</f>
        <v>7</v>
      </c>
      <c r="E182" s="31">
        <f t="shared" si="92"/>
        <v>7</v>
      </c>
      <c r="F182" s="31">
        <f t="shared" si="92"/>
        <v>7</v>
      </c>
      <c r="G182" s="31">
        <f t="shared" si="92"/>
        <v>7</v>
      </c>
      <c r="H182" s="31">
        <f t="shared" si="92"/>
        <v>7</v>
      </c>
      <c r="I182" s="31">
        <f t="shared" si="92"/>
        <v>7</v>
      </c>
      <c r="J182" s="31">
        <f t="shared" si="92"/>
        <v>7</v>
      </c>
      <c r="K182" s="31">
        <f t="shared" si="92"/>
        <v>7</v>
      </c>
      <c r="L182" s="31">
        <f t="shared" si="92"/>
        <v>7</v>
      </c>
      <c r="M182" s="31">
        <f>+M175+M176+M177+M178+M179+M180+M181</f>
        <v>7</v>
      </c>
      <c r="N182" s="31">
        <f>+N175+N176+N177+N178+N179+N180+N181</f>
        <v>7</v>
      </c>
      <c r="O182" s="31">
        <f>+O175+O176+O177+O178+O179+O180+O181</f>
        <v>7</v>
      </c>
      <c r="P182" s="31">
        <f>+P175+P176+P177+P178+P179+P180+P181</f>
        <v>7</v>
      </c>
      <c r="Q182" s="116">
        <f>+SUM(D182:P182)</f>
        <v>91</v>
      </c>
      <c r="R182" s="66"/>
      <c r="S182" s="146" t="s">
        <v>1</v>
      </c>
      <c r="T182" s="147">
        <f t="shared" si="78"/>
        <v>3.5714285714285712E-2</v>
      </c>
      <c r="U182" s="52"/>
    </row>
    <row r="183" spans="2:24" ht="14" customHeight="1" thickTop="1" thickBot="1" x14ac:dyDescent="0.2">
      <c r="B183" s="33" t="s">
        <v>1</v>
      </c>
      <c r="C183" s="34" t="str">
        <f>C119</f>
        <v>Samedi</v>
      </c>
      <c r="D183" s="25" t="s">
        <v>1</v>
      </c>
      <c r="E183" s="25" t="s">
        <v>1</v>
      </c>
      <c r="F183" s="25" t="s">
        <v>1</v>
      </c>
      <c r="G183" s="25" t="s">
        <v>1</v>
      </c>
      <c r="H183" s="25" t="s">
        <v>1</v>
      </c>
      <c r="I183" s="25" t="s">
        <v>1</v>
      </c>
      <c r="J183" s="25" t="s">
        <v>1</v>
      </c>
      <c r="K183" s="25" t="s">
        <v>1</v>
      </c>
      <c r="L183" s="25" t="s">
        <v>1</v>
      </c>
      <c r="M183" s="25" t="s">
        <v>1</v>
      </c>
      <c r="N183" s="25" t="s">
        <v>1</v>
      </c>
      <c r="O183" s="25" t="s">
        <v>1</v>
      </c>
      <c r="P183" s="120" t="s">
        <v>1</v>
      </c>
      <c r="Q183" s="121"/>
      <c r="R183" s="57"/>
      <c r="S183" s="23" t="s">
        <v>1</v>
      </c>
      <c r="T183" s="26" t="s">
        <v>1</v>
      </c>
      <c r="U183" s="57" t="s">
        <v>1</v>
      </c>
      <c r="V183" s="57" t="s">
        <v>1</v>
      </c>
      <c r="W183" s="57" t="s">
        <v>1</v>
      </c>
    </row>
    <row r="184" spans="2:24" ht="14" customHeight="1" thickTop="1" thickBot="1" x14ac:dyDescent="0.2">
      <c r="B184" s="27">
        <v>1</v>
      </c>
      <c r="C184" s="14" t="str">
        <f t="shared" ref="C184:C190" si="93">C175</f>
        <v>6 h à 9 h 30</v>
      </c>
      <c r="D184" s="15">
        <v>1</v>
      </c>
      <c r="E184" s="15">
        <v>1</v>
      </c>
      <c r="F184" s="15">
        <v>1</v>
      </c>
      <c r="G184" s="15">
        <v>1</v>
      </c>
      <c r="H184" s="15">
        <v>1</v>
      </c>
      <c r="I184" s="15">
        <v>1</v>
      </c>
      <c r="J184" s="15">
        <v>1</v>
      </c>
      <c r="K184" s="15">
        <v>1</v>
      </c>
      <c r="L184" s="15">
        <v>1</v>
      </c>
      <c r="M184" s="15">
        <v>1</v>
      </c>
      <c r="N184" s="15">
        <v>1</v>
      </c>
      <c r="O184" s="15">
        <v>1</v>
      </c>
      <c r="P184" s="15">
        <v>1</v>
      </c>
      <c r="Q184" s="129">
        <f>+SUM(D184:P184)</f>
        <v>13</v>
      </c>
      <c r="R184" s="64"/>
      <c r="S184" s="133">
        <f t="shared" ref="S184:S190" si="94">SUM(D184:P184)/$Q$267</f>
        <v>5.1020408163265302E-3</v>
      </c>
      <c r="T184" s="139"/>
      <c r="U184" s="50"/>
    </row>
    <row r="185" spans="2:24" ht="14" customHeight="1" thickTop="1" thickBot="1" x14ac:dyDescent="0.2">
      <c r="B185" s="27">
        <v>2</v>
      </c>
      <c r="C185" s="17" t="str">
        <f t="shared" si="93"/>
        <v>9 h 30 à 11 h 30</v>
      </c>
      <c r="D185" s="18">
        <v>1</v>
      </c>
      <c r="E185" s="18">
        <v>1</v>
      </c>
      <c r="F185" s="18">
        <v>1</v>
      </c>
      <c r="G185" s="18">
        <v>1</v>
      </c>
      <c r="H185" s="18">
        <v>1</v>
      </c>
      <c r="I185" s="18">
        <v>1</v>
      </c>
      <c r="J185" s="18">
        <v>1</v>
      </c>
      <c r="K185" s="18">
        <v>1</v>
      </c>
      <c r="L185" s="18">
        <v>1</v>
      </c>
      <c r="M185" s="18">
        <v>1</v>
      </c>
      <c r="N185" s="18">
        <v>1</v>
      </c>
      <c r="O185" s="18">
        <v>1</v>
      </c>
      <c r="P185" s="18">
        <v>1</v>
      </c>
      <c r="Q185" s="130">
        <f>+SUM(D185:P185)</f>
        <v>13</v>
      </c>
      <c r="R185" s="64"/>
      <c r="S185" s="135">
        <f t="shared" si="94"/>
        <v>5.1020408163265302E-3</v>
      </c>
      <c r="T185" s="140"/>
      <c r="U185" s="50"/>
    </row>
    <row r="186" spans="2:24" ht="14" customHeight="1" thickTop="1" thickBot="1" x14ac:dyDescent="0.2">
      <c r="B186" s="27">
        <v>3</v>
      </c>
      <c r="C186" s="17" t="str">
        <f t="shared" si="93"/>
        <v>11 h 30 à 14 h 30</v>
      </c>
      <c r="D186" s="41">
        <v>1</v>
      </c>
      <c r="E186" s="41">
        <v>1</v>
      </c>
      <c r="F186" s="41">
        <v>1</v>
      </c>
      <c r="G186" s="41">
        <v>1</v>
      </c>
      <c r="H186" s="41">
        <v>1</v>
      </c>
      <c r="I186" s="41">
        <v>1</v>
      </c>
      <c r="J186" s="41">
        <v>1</v>
      </c>
      <c r="K186" s="41">
        <v>1</v>
      </c>
      <c r="L186" s="41">
        <v>1</v>
      </c>
      <c r="M186" s="41">
        <v>1</v>
      </c>
      <c r="N186" s="41">
        <v>1</v>
      </c>
      <c r="O186" s="41">
        <v>1</v>
      </c>
      <c r="P186" s="41">
        <v>1</v>
      </c>
      <c r="Q186" s="130">
        <f t="shared" ref="Q186:Q190" si="95">+SUM(D186:P186)</f>
        <v>13</v>
      </c>
      <c r="R186" s="64"/>
      <c r="S186" s="135">
        <f t="shared" si="94"/>
        <v>5.1020408163265302E-3</v>
      </c>
      <c r="T186" s="140"/>
      <c r="U186" s="50"/>
    </row>
    <row r="187" spans="2:24" ht="14" customHeight="1" thickTop="1" thickBot="1" x14ac:dyDescent="0.2">
      <c r="B187" s="27">
        <v>4</v>
      </c>
      <c r="C187" s="17" t="str">
        <f t="shared" si="93"/>
        <v>14 h 30 à 17 h</v>
      </c>
      <c r="D187" s="41">
        <v>1</v>
      </c>
      <c r="E187" s="41">
        <v>1</v>
      </c>
      <c r="F187" s="41">
        <v>1</v>
      </c>
      <c r="G187" s="41">
        <v>1</v>
      </c>
      <c r="H187" s="41">
        <v>1</v>
      </c>
      <c r="I187" s="41">
        <v>1</v>
      </c>
      <c r="J187" s="41">
        <v>1</v>
      </c>
      <c r="K187" s="41">
        <v>1</v>
      </c>
      <c r="L187" s="41">
        <v>1</v>
      </c>
      <c r="M187" s="41">
        <v>1</v>
      </c>
      <c r="N187" s="41">
        <v>1</v>
      </c>
      <c r="O187" s="41">
        <v>1</v>
      </c>
      <c r="P187" s="41">
        <v>1</v>
      </c>
      <c r="Q187" s="130">
        <f t="shared" si="95"/>
        <v>13</v>
      </c>
      <c r="R187" s="64"/>
      <c r="S187" s="135">
        <f t="shared" si="94"/>
        <v>5.1020408163265302E-3</v>
      </c>
      <c r="T187" s="140"/>
      <c r="U187" s="50"/>
    </row>
    <row r="188" spans="2:24" ht="14" customHeight="1" thickTop="1" thickBot="1" x14ac:dyDescent="0.2">
      <c r="B188" s="27">
        <v>5</v>
      </c>
      <c r="C188" s="17" t="str">
        <f t="shared" si="93"/>
        <v>17 h à 19 h</v>
      </c>
      <c r="D188" s="41">
        <v>1</v>
      </c>
      <c r="E188" s="41">
        <v>1</v>
      </c>
      <c r="F188" s="41">
        <v>1</v>
      </c>
      <c r="G188" s="41">
        <v>1</v>
      </c>
      <c r="H188" s="41">
        <v>1</v>
      </c>
      <c r="I188" s="41">
        <v>1</v>
      </c>
      <c r="J188" s="41">
        <v>1</v>
      </c>
      <c r="K188" s="41">
        <v>1</v>
      </c>
      <c r="L188" s="41">
        <v>1</v>
      </c>
      <c r="M188" s="41">
        <v>1</v>
      </c>
      <c r="N188" s="41">
        <v>1</v>
      </c>
      <c r="O188" s="41">
        <v>1</v>
      </c>
      <c r="P188" s="41">
        <v>1</v>
      </c>
      <c r="Q188" s="130">
        <f t="shared" si="95"/>
        <v>13</v>
      </c>
      <c r="R188" s="64"/>
      <c r="S188" s="135">
        <f t="shared" si="94"/>
        <v>5.1020408163265302E-3</v>
      </c>
      <c r="T188" s="140"/>
      <c r="U188" s="50"/>
    </row>
    <row r="189" spans="2:24" ht="14" customHeight="1" thickTop="1" thickBot="1" x14ac:dyDescent="0.2">
      <c r="B189" s="27">
        <v>6</v>
      </c>
      <c r="C189" s="17" t="str">
        <f t="shared" si="93"/>
        <v>19 h à 23 h</v>
      </c>
      <c r="D189" s="41">
        <v>1</v>
      </c>
      <c r="E189" s="41">
        <v>1</v>
      </c>
      <c r="F189" s="41">
        <v>1</v>
      </c>
      <c r="G189" s="41">
        <v>1</v>
      </c>
      <c r="H189" s="41">
        <v>1</v>
      </c>
      <c r="I189" s="41">
        <v>1</v>
      </c>
      <c r="J189" s="41">
        <v>1</v>
      </c>
      <c r="K189" s="41">
        <v>1</v>
      </c>
      <c r="L189" s="41">
        <v>1</v>
      </c>
      <c r="M189" s="41">
        <v>1</v>
      </c>
      <c r="N189" s="41">
        <v>1</v>
      </c>
      <c r="O189" s="41">
        <v>1</v>
      </c>
      <c r="P189" s="41">
        <v>1</v>
      </c>
      <c r="Q189" s="130">
        <f t="shared" si="95"/>
        <v>13</v>
      </c>
      <c r="R189" s="64"/>
      <c r="S189" s="135">
        <f t="shared" si="94"/>
        <v>5.1020408163265302E-3</v>
      </c>
      <c r="T189" s="140"/>
      <c r="U189" s="50"/>
    </row>
    <row r="190" spans="2:24" ht="14" customHeight="1" thickTop="1" thickBot="1" x14ac:dyDescent="0.2">
      <c r="B190" s="27">
        <v>7</v>
      </c>
      <c r="C190" s="17" t="str">
        <f t="shared" si="93"/>
        <v>23 h à 6 h</v>
      </c>
      <c r="D190" s="18">
        <v>1</v>
      </c>
      <c r="E190" s="18">
        <v>1</v>
      </c>
      <c r="F190" s="18">
        <v>1</v>
      </c>
      <c r="G190" s="18">
        <v>1</v>
      </c>
      <c r="H190" s="18">
        <v>1</v>
      </c>
      <c r="I190" s="18">
        <v>1</v>
      </c>
      <c r="J190" s="18">
        <v>1</v>
      </c>
      <c r="K190" s="18">
        <v>1</v>
      </c>
      <c r="L190" s="18">
        <v>1</v>
      </c>
      <c r="M190" s="18">
        <v>1</v>
      </c>
      <c r="N190" s="18">
        <v>1</v>
      </c>
      <c r="O190" s="18">
        <v>1</v>
      </c>
      <c r="P190" s="18">
        <v>1</v>
      </c>
      <c r="Q190" s="130">
        <f t="shared" si="95"/>
        <v>13</v>
      </c>
      <c r="R190" s="64"/>
      <c r="S190" s="135">
        <f t="shared" si="94"/>
        <v>5.1020408163265302E-3</v>
      </c>
      <c r="T190" s="140"/>
      <c r="U190" s="50"/>
    </row>
    <row r="191" spans="2:24" ht="14" customHeight="1" thickTop="1" thickBot="1" x14ac:dyDescent="0.2">
      <c r="B191" s="29"/>
      <c r="C191" s="60" t="str">
        <f>C173</f>
        <v>Total</v>
      </c>
      <c r="D191" s="31">
        <f t="shared" ref="D191:L191" si="96">+D184+D185+D186+D187+D188+D189+D190</f>
        <v>7</v>
      </c>
      <c r="E191" s="31">
        <f t="shared" si="96"/>
        <v>7</v>
      </c>
      <c r="F191" s="31">
        <f t="shared" si="96"/>
        <v>7</v>
      </c>
      <c r="G191" s="31">
        <f t="shared" si="96"/>
        <v>7</v>
      </c>
      <c r="H191" s="31">
        <f t="shared" si="96"/>
        <v>7</v>
      </c>
      <c r="I191" s="31">
        <f t="shared" si="96"/>
        <v>7</v>
      </c>
      <c r="J191" s="31">
        <f t="shared" si="96"/>
        <v>7</v>
      </c>
      <c r="K191" s="31">
        <f t="shared" si="96"/>
        <v>7</v>
      </c>
      <c r="L191" s="31">
        <f t="shared" si="96"/>
        <v>7</v>
      </c>
      <c r="M191" s="31">
        <f>+M184+M185+M186+M187+M188+M189+M190</f>
        <v>7</v>
      </c>
      <c r="N191" s="31">
        <f>+N184+N185+N186+N187+N188+N189+N190</f>
        <v>7</v>
      </c>
      <c r="O191" s="31">
        <f>+O184+O185+O186+O187+O188+O189+O190</f>
        <v>7</v>
      </c>
      <c r="P191" s="31">
        <f>+P184+P185+P186+P187+P188+P189+P190</f>
        <v>7</v>
      </c>
      <c r="Q191" s="116">
        <f>+SUM(D191:P191)</f>
        <v>91</v>
      </c>
      <c r="R191" s="66"/>
      <c r="S191" s="137" t="s">
        <v>1</v>
      </c>
      <c r="T191" s="138">
        <f t="shared" si="78"/>
        <v>3.5714285714285712E-2</v>
      </c>
      <c r="U191" s="52"/>
    </row>
    <row r="192" spans="2:24" ht="14" customHeight="1" thickTop="1" thickBot="1" x14ac:dyDescent="0.2">
      <c r="B192" s="33" t="s">
        <v>1</v>
      </c>
      <c r="C192" s="37" t="str">
        <f>C128</f>
        <v>Dimanche</v>
      </c>
      <c r="D192" s="25" t="s">
        <v>1</v>
      </c>
      <c r="E192" s="25" t="s">
        <v>1</v>
      </c>
      <c r="F192" s="25" t="s">
        <v>1</v>
      </c>
      <c r="G192" s="25" t="s">
        <v>1</v>
      </c>
      <c r="H192" s="25" t="s">
        <v>1</v>
      </c>
      <c r="I192" s="25" t="s">
        <v>1</v>
      </c>
      <c r="J192" s="25" t="s">
        <v>1</v>
      </c>
      <c r="K192" s="25" t="s">
        <v>1</v>
      </c>
      <c r="L192" s="25" t="s">
        <v>1</v>
      </c>
      <c r="M192" s="25" t="s">
        <v>1</v>
      </c>
      <c r="N192" s="25" t="s">
        <v>1</v>
      </c>
      <c r="O192" s="25" t="s">
        <v>1</v>
      </c>
      <c r="P192" s="120" t="s">
        <v>1</v>
      </c>
      <c r="Q192" s="121"/>
      <c r="R192" s="57"/>
      <c r="S192" s="23" t="s">
        <v>1</v>
      </c>
      <c r="T192" s="26" t="s">
        <v>1</v>
      </c>
      <c r="U192" s="57" t="s">
        <v>1</v>
      </c>
      <c r="V192" s="57" t="s">
        <v>1</v>
      </c>
      <c r="W192" s="57" t="s">
        <v>1</v>
      </c>
      <c r="X192" s="58"/>
    </row>
    <row r="193" spans="2:23" ht="14" customHeight="1" thickTop="1" thickBot="1" x14ac:dyDescent="0.2">
      <c r="B193" s="28">
        <v>1</v>
      </c>
      <c r="C193" s="14" t="str">
        <f t="shared" ref="C193:C199" si="97">C184</f>
        <v>6 h à 9 h 30</v>
      </c>
      <c r="D193" s="15">
        <v>1</v>
      </c>
      <c r="E193" s="15">
        <v>1</v>
      </c>
      <c r="F193" s="15">
        <v>1</v>
      </c>
      <c r="G193" s="15">
        <v>1</v>
      </c>
      <c r="H193" s="15">
        <v>1</v>
      </c>
      <c r="I193" s="15">
        <v>1</v>
      </c>
      <c r="J193" s="15">
        <v>1</v>
      </c>
      <c r="K193" s="15">
        <v>1</v>
      </c>
      <c r="L193" s="15">
        <v>1</v>
      </c>
      <c r="M193" s="15">
        <v>1</v>
      </c>
      <c r="N193" s="15">
        <v>1</v>
      </c>
      <c r="O193" s="15">
        <v>1</v>
      </c>
      <c r="P193" s="15">
        <v>1</v>
      </c>
      <c r="Q193" s="129">
        <f>+SUM(D193:P193)</f>
        <v>13</v>
      </c>
      <c r="R193" s="64"/>
      <c r="S193" s="133">
        <f t="shared" ref="S193:S199" si="98">SUM(D193:P193)/$Q$267</f>
        <v>5.1020408163265302E-3</v>
      </c>
      <c r="T193" s="139"/>
      <c r="U193" s="50"/>
    </row>
    <row r="194" spans="2:23" ht="14" customHeight="1" thickTop="1" thickBot="1" x14ac:dyDescent="0.2">
      <c r="B194" s="27">
        <v>2</v>
      </c>
      <c r="C194" s="17" t="str">
        <f t="shared" si="97"/>
        <v>9 h 30 à 11 h 30</v>
      </c>
      <c r="D194" s="18">
        <v>1</v>
      </c>
      <c r="E194" s="18">
        <v>1</v>
      </c>
      <c r="F194" s="18">
        <v>1</v>
      </c>
      <c r="G194" s="18">
        <v>1</v>
      </c>
      <c r="H194" s="18">
        <v>1</v>
      </c>
      <c r="I194" s="18">
        <v>1</v>
      </c>
      <c r="J194" s="18">
        <v>1</v>
      </c>
      <c r="K194" s="18">
        <v>1</v>
      </c>
      <c r="L194" s="18">
        <v>1</v>
      </c>
      <c r="M194" s="18">
        <v>1</v>
      </c>
      <c r="N194" s="18">
        <v>1</v>
      </c>
      <c r="O194" s="18">
        <v>1</v>
      </c>
      <c r="P194" s="18">
        <v>1</v>
      </c>
      <c r="Q194" s="130">
        <f>+SUM(D194:P194)</f>
        <v>13</v>
      </c>
      <c r="R194" s="64"/>
      <c r="S194" s="135">
        <f t="shared" si="98"/>
        <v>5.1020408163265302E-3</v>
      </c>
      <c r="T194" s="140"/>
      <c r="U194" s="50"/>
    </row>
    <row r="195" spans="2:23" ht="14" customHeight="1" thickTop="1" thickBot="1" x14ac:dyDescent="0.2">
      <c r="B195" s="27">
        <v>3</v>
      </c>
      <c r="C195" s="17" t="str">
        <f t="shared" si="97"/>
        <v>11 h 30 à 14 h 30</v>
      </c>
      <c r="D195" s="41">
        <v>1</v>
      </c>
      <c r="E195" s="41">
        <v>1</v>
      </c>
      <c r="F195" s="41">
        <v>1</v>
      </c>
      <c r="G195" s="41">
        <v>1</v>
      </c>
      <c r="H195" s="41">
        <v>1</v>
      </c>
      <c r="I195" s="41">
        <v>1</v>
      </c>
      <c r="J195" s="41">
        <v>1</v>
      </c>
      <c r="K195" s="41">
        <v>1</v>
      </c>
      <c r="L195" s="41">
        <v>1</v>
      </c>
      <c r="M195" s="41">
        <v>1</v>
      </c>
      <c r="N195" s="41">
        <v>1</v>
      </c>
      <c r="O195" s="41">
        <v>1</v>
      </c>
      <c r="P195" s="41">
        <v>1</v>
      </c>
      <c r="Q195" s="130">
        <f t="shared" ref="Q195:Q199" si="99">+SUM(D195:P195)</f>
        <v>13</v>
      </c>
      <c r="R195" s="64"/>
      <c r="S195" s="135">
        <f t="shared" si="98"/>
        <v>5.1020408163265302E-3</v>
      </c>
      <c r="T195" s="140"/>
      <c r="U195" s="50"/>
    </row>
    <row r="196" spans="2:23" ht="14" customHeight="1" thickTop="1" thickBot="1" x14ac:dyDescent="0.2">
      <c r="B196" s="27">
        <v>4</v>
      </c>
      <c r="C196" s="17" t="str">
        <f t="shared" si="97"/>
        <v>14 h 30 à 17 h</v>
      </c>
      <c r="D196" s="41">
        <v>1</v>
      </c>
      <c r="E196" s="41">
        <v>1</v>
      </c>
      <c r="F196" s="41">
        <v>1</v>
      </c>
      <c r="G196" s="41">
        <v>1</v>
      </c>
      <c r="H196" s="41">
        <v>1</v>
      </c>
      <c r="I196" s="41">
        <v>1</v>
      </c>
      <c r="J196" s="41">
        <v>1</v>
      </c>
      <c r="K196" s="41">
        <v>1</v>
      </c>
      <c r="L196" s="41">
        <v>1</v>
      </c>
      <c r="M196" s="41">
        <v>1</v>
      </c>
      <c r="N196" s="41">
        <v>1</v>
      </c>
      <c r="O196" s="41">
        <v>1</v>
      </c>
      <c r="P196" s="41">
        <v>1</v>
      </c>
      <c r="Q196" s="130">
        <f t="shared" si="99"/>
        <v>13</v>
      </c>
      <c r="R196" s="64"/>
      <c r="S196" s="135">
        <f t="shared" si="98"/>
        <v>5.1020408163265302E-3</v>
      </c>
      <c r="T196" s="140"/>
      <c r="U196" s="50"/>
    </row>
    <row r="197" spans="2:23" ht="14" customHeight="1" thickTop="1" thickBot="1" x14ac:dyDescent="0.2">
      <c r="B197" s="27">
        <v>5</v>
      </c>
      <c r="C197" s="17" t="str">
        <f t="shared" si="97"/>
        <v>17 h à 19 h</v>
      </c>
      <c r="D197" s="41">
        <v>1</v>
      </c>
      <c r="E197" s="41">
        <v>1</v>
      </c>
      <c r="F197" s="41">
        <v>1</v>
      </c>
      <c r="G197" s="41">
        <v>1</v>
      </c>
      <c r="H197" s="41">
        <v>1</v>
      </c>
      <c r="I197" s="41">
        <v>1</v>
      </c>
      <c r="J197" s="41">
        <v>1</v>
      </c>
      <c r="K197" s="41">
        <v>1</v>
      </c>
      <c r="L197" s="41">
        <v>1</v>
      </c>
      <c r="M197" s="41">
        <v>1</v>
      </c>
      <c r="N197" s="41">
        <v>1</v>
      </c>
      <c r="O197" s="41">
        <v>1</v>
      </c>
      <c r="P197" s="41">
        <v>1</v>
      </c>
      <c r="Q197" s="130">
        <f t="shared" si="99"/>
        <v>13</v>
      </c>
      <c r="R197" s="64"/>
      <c r="S197" s="135">
        <f t="shared" si="98"/>
        <v>5.1020408163265302E-3</v>
      </c>
      <c r="T197" s="140"/>
      <c r="U197" s="50"/>
    </row>
    <row r="198" spans="2:23" ht="14" customHeight="1" thickTop="1" thickBot="1" x14ac:dyDescent="0.2">
      <c r="B198" s="27">
        <v>6</v>
      </c>
      <c r="C198" s="17" t="str">
        <f t="shared" si="97"/>
        <v>19 h à 23 h</v>
      </c>
      <c r="D198" s="41">
        <v>1</v>
      </c>
      <c r="E198" s="41">
        <v>1</v>
      </c>
      <c r="F198" s="41">
        <v>1</v>
      </c>
      <c r="G198" s="41">
        <v>1</v>
      </c>
      <c r="H198" s="41">
        <v>1</v>
      </c>
      <c r="I198" s="41">
        <v>1</v>
      </c>
      <c r="J198" s="41">
        <v>1</v>
      </c>
      <c r="K198" s="41">
        <v>1</v>
      </c>
      <c r="L198" s="41">
        <v>1</v>
      </c>
      <c r="M198" s="41">
        <v>1</v>
      </c>
      <c r="N198" s="41">
        <v>1</v>
      </c>
      <c r="O198" s="41">
        <v>1</v>
      </c>
      <c r="P198" s="41">
        <v>1</v>
      </c>
      <c r="Q198" s="130">
        <f t="shared" si="99"/>
        <v>13</v>
      </c>
      <c r="R198" s="64"/>
      <c r="S198" s="135">
        <f t="shared" si="98"/>
        <v>5.1020408163265302E-3</v>
      </c>
      <c r="T198" s="140"/>
      <c r="U198" s="50"/>
    </row>
    <row r="199" spans="2:23" ht="14" customHeight="1" thickTop="1" thickBot="1" x14ac:dyDescent="0.2">
      <c r="B199" s="27">
        <v>7</v>
      </c>
      <c r="C199" s="17" t="str">
        <f t="shared" si="97"/>
        <v>23 h à 6 h</v>
      </c>
      <c r="D199" s="18">
        <v>1</v>
      </c>
      <c r="E199" s="18">
        <v>1</v>
      </c>
      <c r="F199" s="18">
        <v>1</v>
      </c>
      <c r="G199" s="18">
        <v>1</v>
      </c>
      <c r="H199" s="18">
        <v>1</v>
      </c>
      <c r="I199" s="18">
        <v>1</v>
      </c>
      <c r="J199" s="18">
        <v>1</v>
      </c>
      <c r="K199" s="18">
        <v>1</v>
      </c>
      <c r="L199" s="18">
        <v>1</v>
      </c>
      <c r="M199" s="18">
        <v>1</v>
      </c>
      <c r="N199" s="18">
        <v>1</v>
      </c>
      <c r="O199" s="18">
        <v>1</v>
      </c>
      <c r="P199" s="18">
        <v>1</v>
      </c>
      <c r="Q199" s="130">
        <f t="shared" si="99"/>
        <v>13</v>
      </c>
      <c r="R199" s="64"/>
      <c r="S199" s="135">
        <f t="shared" si="98"/>
        <v>5.1020408163265302E-3</v>
      </c>
      <c r="T199" s="140"/>
      <c r="U199" s="50"/>
    </row>
    <row r="200" spans="2:23" ht="14" customHeight="1" thickTop="1" thickBot="1" x14ac:dyDescent="0.2">
      <c r="B200" s="29"/>
      <c r="C200" s="125" t="str">
        <f t="shared" ref="C200" si="100">+C191</f>
        <v>Total</v>
      </c>
      <c r="D200" s="126">
        <f t="shared" ref="D200:L200" si="101">+D193+D194+D195+D196+D197+D198+D199</f>
        <v>7</v>
      </c>
      <c r="E200" s="126">
        <f t="shared" si="101"/>
        <v>7</v>
      </c>
      <c r="F200" s="126">
        <f t="shared" si="101"/>
        <v>7</v>
      </c>
      <c r="G200" s="126">
        <f t="shared" si="101"/>
        <v>7</v>
      </c>
      <c r="H200" s="126">
        <f t="shared" si="101"/>
        <v>7</v>
      </c>
      <c r="I200" s="126">
        <f t="shared" si="101"/>
        <v>7</v>
      </c>
      <c r="J200" s="126">
        <f t="shared" si="101"/>
        <v>7</v>
      </c>
      <c r="K200" s="126">
        <f t="shared" si="101"/>
        <v>7</v>
      </c>
      <c r="L200" s="126">
        <f t="shared" si="101"/>
        <v>7</v>
      </c>
      <c r="M200" s="126">
        <f>+M193+M194+M195+M196+M197+M198+M199</f>
        <v>7</v>
      </c>
      <c r="N200" s="126">
        <f>+N193+N194+N195+N196+N197+N198+N199</f>
        <v>7</v>
      </c>
      <c r="O200" s="126">
        <f>+O193+O194+O195+O196+O197+O198+O199</f>
        <v>7</v>
      </c>
      <c r="P200" s="126">
        <f>+P193+P194+P195+P196+P197+P198+P199</f>
        <v>7</v>
      </c>
      <c r="Q200" s="116">
        <f>+SUM(D200:P200)</f>
        <v>91</v>
      </c>
      <c r="R200" s="66"/>
      <c r="S200" s="137" t="s">
        <v>1</v>
      </c>
      <c r="T200" s="138">
        <f t="shared" si="78"/>
        <v>3.5714285714285712E-2</v>
      </c>
      <c r="U200" s="52"/>
    </row>
    <row r="201" spans="2:23" ht="14" customHeight="1" thickTop="1" thickBot="1" x14ac:dyDescent="0.2">
      <c r="B201" s="566" t="s">
        <v>12</v>
      </c>
      <c r="C201" s="567"/>
      <c r="D201" s="567"/>
      <c r="E201" s="567"/>
      <c r="F201" s="567"/>
      <c r="G201" s="567"/>
      <c r="H201" s="567"/>
      <c r="I201" s="567"/>
      <c r="J201" s="567"/>
      <c r="K201" s="567"/>
      <c r="L201" s="567"/>
      <c r="M201" s="567"/>
      <c r="N201" s="567"/>
      <c r="O201" s="567"/>
      <c r="P201" s="568"/>
      <c r="Q201" s="569"/>
      <c r="R201" s="56"/>
      <c r="S201" s="554" t="s">
        <v>12</v>
      </c>
      <c r="T201" s="555"/>
      <c r="U201" s="49"/>
    </row>
    <row r="202" spans="2:23" ht="14" customHeight="1" thickTop="1" thickBot="1" x14ac:dyDescent="0.2">
      <c r="B202" s="112">
        <v>4</v>
      </c>
      <c r="C202" s="127" t="str">
        <f>C138</f>
        <v>Lundi</v>
      </c>
      <c r="D202" s="114" t="s">
        <v>1</v>
      </c>
      <c r="E202" s="114" t="s">
        <v>1</v>
      </c>
      <c r="F202" s="114" t="s">
        <v>1</v>
      </c>
      <c r="G202" s="114" t="s">
        <v>1</v>
      </c>
      <c r="H202" s="114" t="s">
        <v>1</v>
      </c>
      <c r="I202" s="114" t="s">
        <v>1</v>
      </c>
      <c r="J202" s="114" t="s">
        <v>1</v>
      </c>
      <c r="K202" s="114" t="s">
        <v>1</v>
      </c>
      <c r="L202" s="114" t="s">
        <v>1</v>
      </c>
      <c r="M202" s="114" t="s">
        <v>1</v>
      </c>
      <c r="N202" s="114" t="s">
        <v>1</v>
      </c>
      <c r="O202" s="114" t="s">
        <v>1</v>
      </c>
      <c r="P202" s="128" t="s">
        <v>1</v>
      </c>
      <c r="Q202" s="124"/>
      <c r="R202" s="57"/>
      <c r="S202" s="78" t="s">
        <v>1</v>
      </c>
      <c r="T202" s="12" t="s">
        <v>1</v>
      </c>
      <c r="U202" s="57" t="s">
        <v>1</v>
      </c>
      <c r="V202" s="57" t="s">
        <v>1</v>
      </c>
      <c r="W202" s="58"/>
    </row>
    <row r="203" spans="2:23" ht="14" customHeight="1" thickTop="1" x14ac:dyDescent="0.15">
      <c r="B203" s="13">
        <v>1</v>
      </c>
      <c r="C203" s="14" t="str">
        <f t="shared" ref="C203:C209" si="102">C193</f>
        <v>6 h à 9 h 30</v>
      </c>
      <c r="D203" s="15">
        <v>1</v>
      </c>
      <c r="E203" s="15">
        <v>1</v>
      </c>
      <c r="F203" s="15">
        <v>1</v>
      </c>
      <c r="G203" s="15">
        <v>1</v>
      </c>
      <c r="H203" s="15">
        <v>1</v>
      </c>
      <c r="I203" s="15">
        <v>1</v>
      </c>
      <c r="J203" s="15">
        <v>1</v>
      </c>
      <c r="K203" s="15">
        <v>1</v>
      </c>
      <c r="L203" s="15">
        <v>1</v>
      </c>
      <c r="M203" s="15">
        <v>1</v>
      </c>
      <c r="N203" s="15">
        <v>1</v>
      </c>
      <c r="O203" s="15">
        <v>1</v>
      </c>
      <c r="P203" s="15">
        <v>1</v>
      </c>
      <c r="Q203" s="129">
        <f>+SUM(D203:P203)</f>
        <v>13</v>
      </c>
      <c r="R203" s="64"/>
      <c r="S203" s="133">
        <f t="shared" ref="S203:S209" si="103">SUM(D203:P203)/$Q$267</f>
        <v>5.1020408163265302E-3</v>
      </c>
      <c r="T203" s="139"/>
      <c r="U203" s="50"/>
    </row>
    <row r="204" spans="2:23" ht="14" customHeight="1" x14ac:dyDescent="0.15">
      <c r="B204" s="16">
        <v>2</v>
      </c>
      <c r="C204" s="17" t="str">
        <f t="shared" si="102"/>
        <v>9 h 30 à 11 h 30</v>
      </c>
      <c r="D204" s="18">
        <v>1</v>
      </c>
      <c r="E204" s="18">
        <v>1</v>
      </c>
      <c r="F204" s="18">
        <v>1</v>
      </c>
      <c r="G204" s="18">
        <v>1</v>
      </c>
      <c r="H204" s="18">
        <v>1</v>
      </c>
      <c r="I204" s="18">
        <v>1</v>
      </c>
      <c r="J204" s="18">
        <v>1</v>
      </c>
      <c r="K204" s="18">
        <v>1</v>
      </c>
      <c r="L204" s="18">
        <v>1</v>
      </c>
      <c r="M204" s="18">
        <v>1</v>
      </c>
      <c r="N204" s="18">
        <v>1</v>
      </c>
      <c r="O204" s="18">
        <v>1</v>
      </c>
      <c r="P204" s="18">
        <v>1</v>
      </c>
      <c r="Q204" s="130">
        <f>+SUM(D204:P204)</f>
        <v>13</v>
      </c>
      <c r="R204" s="64"/>
      <c r="S204" s="135">
        <f t="shared" si="103"/>
        <v>5.1020408163265302E-3</v>
      </c>
      <c r="T204" s="140"/>
      <c r="U204" s="50"/>
    </row>
    <row r="205" spans="2:23" ht="14" customHeight="1" x14ac:dyDescent="0.15">
      <c r="B205" s="16">
        <v>3</v>
      </c>
      <c r="C205" s="17" t="str">
        <f t="shared" si="102"/>
        <v>11 h 30 à 14 h 30</v>
      </c>
      <c r="D205" s="41">
        <v>1</v>
      </c>
      <c r="E205" s="41">
        <v>1</v>
      </c>
      <c r="F205" s="41">
        <v>1</v>
      </c>
      <c r="G205" s="41">
        <v>1</v>
      </c>
      <c r="H205" s="41">
        <v>1</v>
      </c>
      <c r="I205" s="41">
        <v>1</v>
      </c>
      <c r="J205" s="41">
        <v>1</v>
      </c>
      <c r="K205" s="41">
        <v>1</v>
      </c>
      <c r="L205" s="41">
        <v>1</v>
      </c>
      <c r="M205" s="41">
        <v>1</v>
      </c>
      <c r="N205" s="41">
        <v>1</v>
      </c>
      <c r="O205" s="41">
        <v>1</v>
      </c>
      <c r="P205" s="41">
        <v>1</v>
      </c>
      <c r="Q205" s="130">
        <f t="shared" ref="Q205:Q209" si="104">+SUM(D205:P205)</f>
        <v>13</v>
      </c>
      <c r="R205" s="64"/>
      <c r="S205" s="135">
        <f t="shared" si="103"/>
        <v>5.1020408163265302E-3</v>
      </c>
      <c r="T205" s="140"/>
      <c r="U205" s="50"/>
    </row>
    <row r="206" spans="2:23" ht="14" customHeight="1" x14ac:dyDescent="0.15">
      <c r="B206" s="16">
        <v>4</v>
      </c>
      <c r="C206" s="17" t="str">
        <f t="shared" si="102"/>
        <v>14 h 30 à 17 h</v>
      </c>
      <c r="D206" s="41">
        <v>1</v>
      </c>
      <c r="E206" s="41">
        <v>1</v>
      </c>
      <c r="F206" s="41">
        <v>1</v>
      </c>
      <c r="G206" s="41">
        <v>1</v>
      </c>
      <c r="H206" s="41">
        <v>1</v>
      </c>
      <c r="I206" s="41">
        <v>1</v>
      </c>
      <c r="J206" s="41">
        <v>1</v>
      </c>
      <c r="K206" s="41">
        <v>1</v>
      </c>
      <c r="L206" s="41">
        <v>1</v>
      </c>
      <c r="M206" s="41">
        <v>1</v>
      </c>
      <c r="N206" s="41">
        <v>1</v>
      </c>
      <c r="O206" s="41">
        <v>1</v>
      </c>
      <c r="P206" s="41">
        <v>1</v>
      </c>
      <c r="Q206" s="130">
        <f t="shared" si="104"/>
        <v>13</v>
      </c>
      <c r="R206" s="64"/>
      <c r="S206" s="135">
        <f t="shared" si="103"/>
        <v>5.1020408163265302E-3</v>
      </c>
      <c r="T206" s="140"/>
      <c r="U206" s="50"/>
    </row>
    <row r="207" spans="2:23" ht="14" customHeight="1" x14ac:dyDescent="0.15">
      <c r="B207" s="16">
        <v>5</v>
      </c>
      <c r="C207" s="17" t="str">
        <f t="shared" si="102"/>
        <v>17 h à 19 h</v>
      </c>
      <c r="D207" s="41">
        <v>1</v>
      </c>
      <c r="E207" s="41">
        <v>1</v>
      </c>
      <c r="F207" s="41">
        <v>1</v>
      </c>
      <c r="G207" s="41">
        <v>1</v>
      </c>
      <c r="H207" s="41">
        <v>1</v>
      </c>
      <c r="I207" s="41">
        <v>1</v>
      </c>
      <c r="J207" s="41">
        <v>1</v>
      </c>
      <c r="K207" s="41">
        <v>1</v>
      </c>
      <c r="L207" s="41">
        <v>1</v>
      </c>
      <c r="M207" s="41">
        <v>1</v>
      </c>
      <c r="N207" s="41">
        <v>1</v>
      </c>
      <c r="O207" s="41">
        <v>1</v>
      </c>
      <c r="P207" s="41">
        <v>1</v>
      </c>
      <c r="Q207" s="130">
        <f t="shared" si="104"/>
        <v>13</v>
      </c>
      <c r="R207" s="64"/>
      <c r="S207" s="135">
        <f t="shared" si="103"/>
        <v>5.1020408163265302E-3</v>
      </c>
      <c r="T207" s="140"/>
      <c r="U207" s="50"/>
    </row>
    <row r="208" spans="2:23" ht="14" customHeight="1" x14ac:dyDescent="0.15">
      <c r="B208" s="16">
        <v>6</v>
      </c>
      <c r="C208" s="17" t="str">
        <f t="shared" si="102"/>
        <v>19 h à 23 h</v>
      </c>
      <c r="D208" s="41">
        <v>1</v>
      </c>
      <c r="E208" s="41">
        <v>1</v>
      </c>
      <c r="F208" s="41">
        <v>1</v>
      </c>
      <c r="G208" s="41">
        <v>1</v>
      </c>
      <c r="H208" s="41">
        <v>1</v>
      </c>
      <c r="I208" s="41">
        <v>1</v>
      </c>
      <c r="J208" s="41">
        <v>1</v>
      </c>
      <c r="K208" s="41">
        <v>1</v>
      </c>
      <c r="L208" s="41">
        <v>1</v>
      </c>
      <c r="M208" s="41">
        <v>1</v>
      </c>
      <c r="N208" s="41">
        <v>1</v>
      </c>
      <c r="O208" s="41">
        <v>1</v>
      </c>
      <c r="P208" s="41">
        <v>1</v>
      </c>
      <c r="Q208" s="130">
        <f t="shared" si="104"/>
        <v>13</v>
      </c>
      <c r="R208" s="64"/>
      <c r="S208" s="135">
        <f t="shared" si="103"/>
        <v>5.1020408163265302E-3</v>
      </c>
      <c r="T208" s="140"/>
      <c r="U208" s="50"/>
    </row>
    <row r="209" spans="2:23" ht="14" customHeight="1" x14ac:dyDescent="0.15">
      <c r="B209" s="16">
        <v>7</v>
      </c>
      <c r="C209" s="17" t="str">
        <f t="shared" si="102"/>
        <v>23 h à 6 h</v>
      </c>
      <c r="D209" s="18">
        <v>1</v>
      </c>
      <c r="E209" s="18">
        <v>1</v>
      </c>
      <c r="F209" s="18">
        <v>1</v>
      </c>
      <c r="G209" s="18">
        <v>1</v>
      </c>
      <c r="H209" s="18">
        <v>1</v>
      </c>
      <c r="I209" s="18">
        <v>1</v>
      </c>
      <c r="J209" s="18">
        <v>1</v>
      </c>
      <c r="K209" s="18">
        <v>1</v>
      </c>
      <c r="L209" s="18">
        <v>1</v>
      </c>
      <c r="M209" s="18">
        <v>1</v>
      </c>
      <c r="N209" s="18">
        <v>1</v>
      </c>
      <c r="O209" s="18">
        <v>1</v>
      </c>
      <c r="P209" s="18">
        <v>1</v>
      </c>
      <c r="Q209" s="130">
        <f t="shared" si="104"/>
        <v>13</v>
      </c>
      <c r="R209" s="64"/>
      <c r="S209" s="135">
        <f t="shared" si="103"/>
        <v>5.1020408163265302E-3</v>
      </c>
      <c r="T209" s="140"/>
      <c r="U209" s="50"/>
    </row>
    <row r="210" spans="2:23" ht="14" customHeight="1" thickBot="1" x14ac:dyDescent="0.2">
      <c r="B210" s="19"/>
      <c r="C210" s="40" t="str">
        <f>+C200</f>
        <v>Total</v>
      </c>
      <c r="D210" s="31">
        <f t="shared" ref="D210:L210" si="105">+D203+D204+D205+D206+D207+D208+D209</f>
        <v>7</v>
      </c>
      <c r="E210" s="31">
        <f t="shared" si="105"/>
        <v>7</v>
      </c>
      <c r="F210" s="31">
        <f t="shared" si="105"/>
        <v>7</v>
      </c>
      <c r="G210" s="31">
        <f t="shared" si="105"/>
        <v>7</v>
      </c>
      <c r="H210" s="31">
        <f t="shared" si="105"/>
        <v>7</v>
      </c>
      <c r="I210" s="31">
        <f t="shared" si="105"/>
        <v>7</v>
      </c>
      <c r="J210" s="31">
        <f t="shared" si="105"/>
        <v>7</v>
      </c>
      <c r="K210" s="31">
        <f t="shared" si="105"/>
        <v>7</v>
      </c>
      <c r="L210" s="31">
        <f t="shared" si="105"/>
        <v>7</v>
      </c>
      <c r="M210" s="31">
        <f>+M203+M204+M205+M206+M207+M208+M209</f>
        <v>7</v>
      </c>
      <c r="N210" s="31">
        <f>+N203+N204+N205+N206+N207+N208+N209</f>
        <v>7</v>
      </c>
      <c r="O210" s="31">
        <f>+O203+O204+O205+O206+O207+O208+O209</f>
        <v>7</v>
      </c>
      <c r="P210" s="31">
        <f>+P203+P204+P205+P206+P207+P208+P209</f>
        <v>7</v>
      </c>
      <c r="Q210" s="116">
        <f>+SUM(D210:P210)</f>
        <v>91</v>
      </c>
      <c r="R210" s="66"/>
      <c r="S210" s="137" t="s">
        <v>1</v>
      </c>
      <c r="T210" s="138">
        <f t="shared" si="78"/>
        <v>3.5714285714285712E-2</v>
      </c>
      <c r="U210" s="52"/>
    </row>
    <row r="211" spans="2:23" ht="14" customHeight="1" thickTop="1" thickBot="1" x14ac:dyDescent="0.2">
      <c r="B211" s="33" t="s">
        <v>1</v>
      </c>
      <c r="C211" s="37" t="str">
        <f>C147</f>
        <v>Mardi</v>
      </c>
      <c r="D211" s="25" t="s">
        <v>1</v>
      </c>
      <c r="E211" s="25" t="s">
        <v>1</v>
      </c>
      <c r="F211" s="25" t="s">
        <v>1</v>
      </c>
      <c r="G211" s="25" t="s">
        <v>1</v>
      </c>
      <c r="H211" s="25" t="s">
        <v>1</v>
      </c>
      <c r="I211" s="25" t="s">
        <v>1</v>
      </c>
      <c r="J211" s="25" t="s">
        <v>1</v>
      </c>
      <c r="K211" s="25" t="s">
        <v>1</v>
      </c>
      <c r="L211" s="25" t="s">
        <v>1</v>
      </c>
      <c r="M211" s="25" t="s">
        <v>1</v>
      </c>
      <c r="N211" s="25" t="s">
        <v>1</v>
      </c>
      <c r="O211" s="25" t="s">
        <v>1</v>
      </c>
      <c r="P211" s="120" t="s">
        <v>1</v>
      </c>
      <c r="Q211" s="121"/>
      <c r="R211" s="57"/>
      <c r="S211" s="23" t="s">
        <v>1</v>
      </c>
      <c r="T211" s="26" t="s">
        <v>1</v>
      </c>
      <c r="U211" s="57" t="s">
        <v>1</v>
      </c>
      <c r="V211" s="57" t="s">
        <v>1</v>
      </c>
      <c r="W211" s="57" t="s">
        <v>1</v>
      </c>
    </row>
    <row r="212" spans="2:23" ht="14" customHeight="1" thickTop="1" thickBot="1" x14ac:dyDescent="0.2">
      <c r="B212" s="27">
        <v>1</v>
      </c>
      <c r="C212" s="14" t="str">
        <f t="shared" ref="C212:C218" si="106">C203</f>
        <v>6 h à 9 h 30</v>
      </c>
      <c r="D212" s="15">
        <v>1</v>
      </c>
      <c r="E212" s="15">
        <v>1</v>
      </c>
      <c r="F212" s="15">
        <v>1</v>
      </c>
      <c r="G212" s="15">
        <v>1</v>
      </c>
      <c r="H212" s="15">
        <v>1</v>
      </c>
      <c r="I212" s="15">
        <v>1</v>
      </c>
      <c r="J212" s="15">
        <v>1</v>
      </c>
      <c r="K212" s="15">
        <v>1</v>
      </c>
      <c r="L212" s="15">
        <v>1</v>
      </c>
      <c r="M212" s="15">
        <v>1</v>
      </c>
      <c r="N212" s="15">
        <v>1</v>
      </c>
      <c r="O212" s="15">
        <v>1</v>
      </c>
      <c r="P212" s="15">
        <v>1</v>
      </c>
      <c r="Q212" s="129">
        <f>+SUM(D212:P212)</f>
        <v>13</v>
      </c>
      <c r="R212" s="64"/>
      <c r="S212" s="133">
        <f t="shared" ref="S212:S218" si="107">SUM(D212:P212)/$Q$267</f>
        <v>5.1020408163265302E-3</v>
      </c>
      <c r="T212" s="139"/>
      <c r="U212" s="50"/>
    </row>
    <row r="213" spans="2:23" ht="14" customHeight="1" thickTop="1" thickBot="1" x14ac:dyDescent="0.2">
      <c r="B213" s="28">
        <v>2</v>
      </c>
      <c r="C213" s="17" t="str">
        <f t="shared" si="106"/>
        <v>9 h 30 à 11 h 30</v>
      </c>
      <c r="D213" s="18">
        <v>1</v>
      </c>
      <c r="E213" s="18">
        <v>1</v>
      </c>
      <c r="F213" s="18">
        <v>1</v>
      </c>
      <c r="G213" s="18">
        <v>1</v>
      </c>
      <c r="H213" s="18">
        <v>1</v>
      </c>
      <c r="I213" s="18">
        <v>1</v>
      </c>
      <c r="J213" s="18">
        <v>1</v>
      </c>
      <c r="K213" s="18">
        <v>1</v>
      </c>
      <c r="L213" s="18">
        <v>1</v>
      </c>
      <c r="M213" s="18">
        <v>1</v>
      </c>
      <c r="N213" s="18">
        <v>1</v>
      </c>
      <c r="O213" s="18">
        <v>1</v>
      </c>
      <c r="P213" s="18">
        <v>1</v>
      </c>
      <c r="Q213" s="130">
        <f>+SUM(D213:P213)</f>
        <v>13</v>
      </c>
      <c r="R213" s="64"/>
      <c r="S213" s="135">
        <f t="shared" si="107"/>
        <v>5.1020408163265302E-3</v>
      </c>
      <c r="T213" s="140"/>
      <c r="U213" s="50"/>
    </row>
    <row r="214" spans="2:23" ht="14" customHeight="1" thickTop="1" thickBot="1" x14ac:dyDescent="0.2">
      <c r="B214" s="28">
        <v>3</v>
      </c>
      <c r="C214" s="17" t="str">
        <f t="shared" si="106"/>
        <v>11 h 30 à 14 h 30</v>
      </c>
      <c r="D214" s="41">
        <v>1</v>
      </c>
      <c r="E214" s="41">
        <v>1</v>
      </c>
      <c r="F214" s="41">
        <v>1</v>
      </c>
      <c r="G214" s="41">
        <v>1</v>
      </c>
      <c r="H214" s="41">
        <v>1</v>
      </c>
      <c r="I214" s="41">
        <v>1</v>
      </c>
      <c r="J214" s="41">
        <v>1</v>
      </c>
      <c r="K214" s="41">
        <v>1</v>
      </c>
      <c r="L214" s="41">
        <v>1</v>
      </c>
      <c r="M214" s="41">
        <v>1</v>
      </c>
      <c r="N214" s="41">
        <v>1</v>
      </c>
      <c r="O214" s="41">
        <v>1</v>
      </c>
      <c r="P214" s="41">
        <v>1</v>
      </c>
      <c r="Q214" s="130">
        <f t="shared" ref="Q214:Q218" si="108">+SUM(D214:P214)</f>
        <v>13</v>
      </c>
      <c r="R214" s="64"/>
      <c r="S214" s="135">
        <f t="shared" si="107"/>
        <v>5.1020408163265302E-3</v>
      </c>
      <c r="T214" s="140"/>
      <c r="U214" s="50"/>
    </row>
    <row r="215" spans="2:23" ht="14" customHeight="1" thickTop="1" thickBot="1" x14ac:dyDescent="0.2">
      <c r="B215" s="28">
        <v>4</v>
      </c>
      <c r="C215" s="17" t="str">
        <f t="shared" si="106"/>
        <v>14 h 30 à 17 h</v>
      </c>
      <c r="D215" s="41">
        <v>1</v>
      </c>
      <c r="E215" s="41">
        <v>1</v>
      </c>
      <c r="F215" s="41">
        <v>1</v>
      </c>
      <c r="G215" s="41">
        <v>1</v>
      </c>
      <c r="H215" s="41">
        <v>1</v>
      </c>
      <c r="I215" s="41">
        <v>1</v>
      </c>
      <c r="J215" s="41">
        <v>1</v>
      </c>
      <c r="K215" s="41">
        <v>1</v>
      </c>
      <c r="L215" s="41">
        <v>1</v>
      </c>
      <c r="M215" s="41">
        <v>1</v>
      </c>
      <c r="N215" s="41">
        <v>1</v>
      </c>
      <c r="O215" s="41">
        <v>1</v>
      </c>
      <c r="P215" s="41">
        <v>1</v>
      </c>
      <c r="Q215" s="130">
        <f t="shared" si="108"/>
        <v>13</v>
      </c>
      <c r="R215" s="64"/>
      <c r="S215" s="135">
        <f t="shared" si="107"/>
        <v>5.1020408163265302E-3</v>
      </c>
      <c r="T215" s="140"/>
      <c r="U215" s="50"/>
    </row>
    <row r="216" spans="2:23" ht="14" customHeight="1" thickTop="1" thickBot="1" x14ac:dyDescent="0.2">
      <c r="B216" s="28">
        <v>5</v>
      </c>
      <c r="C216" s="17" t="str">
        <f t="shared" si="106"/>
        <v>17 h à 19 h</v>
      </c>
      <c r="D216" s="41">
        <v>1</v>
      </c>
      <c r="E216" s="41">
        <v>1</v>
      </c>
      <c r="F216" s="41">
        <v>1</v>
      </c>
      <c r="G216" s="41">
        <v>1</v>
      </c>
      <c r="H216" s="41">
        <v>1</v>
      </c>
      <c r="I216" s="41">
        <v>1</v>
      </c>
      <c r="J216" s="41">
        <v>1</v>
      </c>
      <c r="K216" s="41">
        <v>1</v>
      </c>
      <c r="L216" s="41">
        <v>1</v>
      </c>
      <c r="M216" s="41">
        <v>1</v>
      </c>
      <c r="N216" s="41">
        <v>1</v>
      </c>
      <c r="O216" s="41">
        <v>1</v>
      </c>
      <c r="P216" s="41">
        <v>1</v>
      </c>
      <c r="Q216" s="130">
        <f t="shared" si="108"/>
        <v>13</v>
      </c>
      <c r="R216" s="64"/>
      <c r="S216" s="135">
        <f t="shared" si="107"/>
        <v>5.1020408163265302E-3</v>
      </c>
      <c r="T216" s="140"/>
      <c r="U216" s="50"/>
    </row>
    <row r="217" spans="2:23" ht="14" customHeight="1" thickTop="1" thickBot="1" x14ac:dyDescent="0.2">
      <c r="B217" s="28">
        <v>6</v>
      </c>
      <c r="C217" s="17" t="str">
        <f t="shared" si="106"/>
        <v>19 h à 23 h</v>
      </c>
      <c r="D217" s="41">
        <v>1</v>
      </c>
      <c r="E217" s="41">
        <v>1</v>
      </c>
      <c r="F217" s="41">
        <v>1</v>
      </c>
      <c r="G217" s="41">
        <v>1</v>
      </c>
      <c r="H217" s="41">
        <v>1</v>
      </c>
      <c r="I217" s="41">
        <v>1</v>
      </c>
      <c r="J217" s="41">
        <v>1</v>
      </c>
      <c r="K217" s="41">
        <v>1</v>
      </c>
      <c r="L217" s="41">
        <v>1</v>
      </c>
      <c r="M217" s="41">
        <v>1</v>
      </c>
      <c r="N217" s="41">
        <v>1</v>
      </c>
      <c r="O217" s="41">
        <v>1</v>
      </c>
      <c r="P217" s="41">
        <v>1</v>
      </c>
      <c r="Q217" s="130">
        <f t="shared" si="108"/>
        <v>13</v>
      </c>
      <c r="R217" s="64"/>
      <c r="S217" s="135">
        <f t="shared" si="107"/>
        <v>5.1020408163265302E-3</v>
      </c>
      <c r="T217" s="140"/>
      <c r="U217" s="50"/>
    </row>
    <row r="218" spans="2:23" ht="14" customHeight="1" thickTop="1" thickBot="1" x14ac:dyDescent="0.2">
      <c r="B218" s="28">
        <v>7</v>
      </c>
      <c r="C218" s="17" t="str">
        <f t="shared" si="106"/>
        <v>23 h à 6 h</v>
      </c>
      <c r="D218" s="18">
        <v>1</v>
      </c>
      <c r="E218" s="18">
        <v>1</v>
      </c>
      <c r="F218" s="18">
        <v>1</v>
      </c>
      <c r="G218" s="18">
        <v>1</v>
      </c>
      <c r="H218" s="18">
        <v>1</v>
      </c>
      <c r="I218" s="18">
        <v>1</v>
      </c>
      <c r="J218" s="18">
        <v>1</v>
      </c>
      <c r="K218" s="18">
        <v>1</v>
      </c>
      <c r="L218" s="18">
        <v>1</v>
      </c>
      <c r="M218" s="18">
        <v>1</v>
      </c>
      <c r="N218" s="18">
        <v>1</v>
      </c>
      <c r="O218" s="18">
        <v>1</v>
      </c>
      <c r="P218" s="18">
        <v>1</v>
      </c>
      <c r="Q218" s="130">
        <f t="shared" si="108"/>
        <v>13</v>
      </c>
      <c r="R218" s="64"/>
      <c r="S218" s="135">
        <f t="shared" si="107"/>
        <v>5.1020408163265302E-3</v>
      </c>
      <c r="T218" s="140"/>
      <c r="U218" s="50"/>
    </row>
    <row r="219" spans="2:23" ht="14" customHeight="1" thickTop="1" thickBot="1" x14ac:dyDescent="0.2">
      <c r="B219" s="29"/>
      <c r="C219" s="30" t="str">
        <f t="shared" ref="C219" si="109">+C210</f>
        <v>Total</v>
      </c>
      <c r="D219" s="31">
        <f t="shared" ref="D219:L219" si="110">+D212+D213+D214+D215+D216+D217+D218</f>
        <v>7</v>
      </c>
      <c r="E219" s="31">
        <f t="shared" si="110"/>
        <v>7</v>
      </c>
      <c r="F219" s="31">
        <f t="shared" si="110"/>
        <v>7</v>
      </c>
      <c r="G219" s="31">
        <f t="shared" si="110"/>
        <v>7</v>
      </c>
      <c r="H219" s="31">
        <f t="shared" si="110"/>
        <v>7</v>
      </c>
      <c r="I219" s="31">
        <f t="shared" si="110"/>
        <v>7</v>
      </c>
      <c r="J219" s="31">
        <f t="shared" si="110"/>
        <v>7</v>
      </c>
      <c r="K219" s="31">
        <f t="shared" si="110"/>
        <v>7</v>
      </c>
      <c r="L219" s="31">
        <f t="shared" si="110"/>
        <v>7</v>
      </c>
      <c r="M219" s="31">
        <f>+M212+M213+M214+M215+M216+M217+M218</f>
        <v>7</v>
      </c>
      <c r="N219" s="31">
        <f>+N212+N213+N214+N215+N216+N217+N218</f>
        <v>7</v>
      </c>
      <c r="O219" s="31">
        <f>+O212+O213+O214+O215+O216+O217+O218</f>
        <v>7</v>
      </c>
      <c r="P219" s="31">
        <f>+P212+P213+P214+P215+P216+P217+P218</f>
        <v>7</v>
      </c>
      <c r="Q219" s="116">
        <f>+SUM(D219:P219)</f>
        <v>91</v>
      </c>
      <c r="R219" s="66"/>
      <c r="S219" s="137" t="s">
        <v>1</v>
      </c>
      <c r="T219" s="138">
        <f t="shared" ref="T219:T264" si="111">SUM(S212:S218)</f>
        <v>3.5714285714285712E-2</v>
      </c>
      <c r="U219" s="52"/>
    </row>
    <row r="220" spans="2:23" ht="14" customHeight="1" thickTop="1" thickBot="1" x14ac:dyDescent="0.2">
      <c r="B220" s="33" t="s">
        <v>1</v>
      </c>
      <c r="C220" s="34" t="str">
        <f>C156</f>
        <v>Mercredi</v>
      </c>
      <c r="D220" s="25" t="s">
        <v>1</v>
      </c>
      <c r="E220" s="25" t="s">
        <v>1</v>
      </c>
      <c r="F220" s="25" t="s">
        <v>1</v>
      </c>
      <c r="G220" s="25" t="s">
        <v>1</v>
      </c>
      <c r="H220" s="25" t="s">
        <v>1</v>
      </c>
      <c r="I220" s="25" t="s">
        <v>1</v>
      </c>
      <c r="J220" s="25" t="s">
        <v>1</v>
      </c>
      <c r="K220" s="25" t="s">
        <v>1</v>
      </c>
      <c r="L220" s="25" t="s">
        <v>1</v>
      </c>
      <c r="M220" s="25" t="s">
        <v>1</v>
      </c>
      <c r="N220" s="25" t="s">
        <v>1</v>
      </c>
      <c r="O220" s="25" t="s">
        <v>1</v>
      </c>
      <c r="P220" s="120" t="s">
        <v>1</v>
      </c>
      <c r="Q220" s="121"/>
      <c r="R220" s="57"/>
      <c r="S220" s="23" t="s">
        <v>1</v>
      </c>
      <c r="T220" s="26" t="s">
        <v>1</v>
      </c>
      <c r="U220" s="57" t="s">
        <v>1</v>
      </c>
      <c r="V220" s="57" t="s">
        <v>1</v>
      </c>
      <c r="W220" s="58"/>
    </row>
    <row r="221" spans="2:23" ht="14" customHeight="1" thickTop="1" thickBot="1" x14ac:dyDescent="0.2">
      <c r="B221" s="27">
        <v>1</v>
      </c>
      <c r="C221" s="14" t="str">
        <f t="shared" ref="C221:C227" si="112">C212</f>
        <v>6 h à 9 h 30</v>
      </c>
      <c r="D221" s="15">
        <v>1</v>
      </c>
      <c r="E221" s="15">
        <v>1</v>
      </c>
      <c r="F221" s="15">
        <v>1</v>
      </c>
      <c r="G221" s="15">
        <v>1</v>
      </c>
      <c r="H221" s="15">
        <v>1</v>
      </c>
      <c r="I221" s="15">
        <v>1</v>
      </c>
      <c r="J221" s="15">
        <v>1</v>
      </c>
      <c r="K221" s="15">
        <v>1</v>
      </c>
      <c r="L221" s="15">
        <v>1</v>
      </c>
      <c r="M221" s="15">
        <v>1</v>
      </c>
      <c r="N221" s="15">
        <v>1</v>
      </c>
      <c r="O221" s="15">
        <v>1</v>
      </c>
      <c r="P221" s="15">
        <v>1</v>
      </c>
      <c r="Q221" s="129">
        <f>+SUM(D221:P221)</f>
        <v>13</v>
      </c>
      <c r="R221" s="64"/>
      <c r="S221" s="133">
        <f t="shared" ref="S221:S227" si="113">SUM(D221:P221)/$Q$267</f>
        <v>5.1020408163265302E-3</v>
      </c>
      <c r="T221" s="139"/>
      <c r="U221" s="50"/>
    </row>
    <row r="222" spans="2:23" ht="14" customHeight="1" thickTop="1" thickBot="1" x14ac:dyDescent="0.2">
      <c r="B222" s="28">
        <v>2</v>
      </c>
      <c r="C222" s="17" t="str">
        <f t="shared" si="112"/>
        <v>9 h 30 à 11 h 30</v>
      </c>
      <c r="D222" s="18">
        <v>1</v>
      </c>
      <c r="E222" s="18">
        <v>1</v>
      </c>
      <c r="F222" s="18">
        <v>1</v>
      </c>
      <c r="G222" s="18">
        <v>1</v>
      </c>
      <c r="H222" s="18">
        <v>1</v>
      </c>
      <c r="I222" s="18">
        <v>1</v>
      </c>
      <c r="J222" s="18">
        <v>1</v>
      </c>
      <c r="K222" s="18">
        <v>1</v>
      </c>
      <c r="L222" s="18">
        <v>1</v>
      </c>
      <c r="M222" s="18">
        <v>1</v>
      </c>
      <c r="N222" s="18">
        <v>1</v>
      </c>
      <c r="O222" s="18">
        <v>1</v>
      </c>
      <c r="P222" s="18">
        <v>1</v>
      </c>
      <c r="Q222" s="130">
        <f>+SUM(D222:P222)</f>
        <v>13</v>
      </c>
      <c r="R222" s="64"/>
      <c r="S222" s="135">
        <f t="shared" si="113"/>
        <v>5.1020408163265302E-3</v>
      </c>
      <c r="T222" s="140"/>
      <c r="U222" s="50"/>
    </row>
    <row r="223" spans="2:23" ht="14" customHeight="1" thickTop="1" thickBot="1" x14ac:dyDescent="0.2">
      <c r="B223" s="28">
        <v>3</v>
      </c>
      <c r="C223" s="17" t="str">
        <f t="shared" si="112"/>
        <v>11 h 30 à 14 h 30</v>
      </c>
      <c r="D223" s="41">
        <v>1</v>
      </c>
      <c r="E223" s="41">
        <v>1</v>
      </c>
      <c r="F223" s="41">
        <v>1</v>
      </c>
      <c r="G223" s="41">
        <v>1</v>
      </c>
      <c r="H223" s="41">
        <v>1</v>
      </c>
      <c r="I223" s="41">
        <v>1</v>
      </c>
      <c r="J223" s="41">
        <v>1</v>
      </c>
      <c r="K223" s="41">
        <v>1</v>
      </c>
      <c r="L223" s="41">
        <v>1</v>
      </c>
      <c r="M223" s="41">
        <v>1</v>
      </c>
      <c r="N223" s="41">
        <v>1</v>
      </c>
      <c r="O223" s="41">
        <v>1</v>
      </c>
      <c r="P223" s="41">
        <v>1</v>
      </c>
      <c r="Q223" s="130">
        <f t="shared" ref="Q223:Q227" si="114">+SUM(D223:P223)</f>
        <v>13</v>
      </c>
      <c r="R223" s="64"/>
      <c r="S223" s="135">
        <f t="shared" si="113"/>
        <v>5.1020408163265302E-3</v>
      </c>
      <c r="T223" s="140"/>
      <c r="U223" s="50"/>
    </row>
    <row r="224" spans="2:23" ht="14" customHeight="1" thickTop="1" thickBot="1" x14ac:dyDescent="0.2">
      <c r="B224" s="28">
        <v>4</v>
      </c>
      <c r="C224" s="17" t="str">
        <f t="shared" si="112"/>
        <v>14 h 30 à 17 h</v>
      </c>
      <c r="D224" s="41">
        <v>1</v>
      </c>
      <c r="E224" s="41">
        <v>1</v>
      </c>
      <c r="F224" s="41">
        <v>1</v>
      </c>
      <c r="G224" s="41">
        <v>1</v>
      </c>
      <c r="H224" s="41">
        <v>1</v>
      </c>
      <c r="I224" s="41">
        <v>1</v>
      </c>
      <c r="J224" s="41">
        <v>1</v>
      </c>
      <c r="K224" s="41">
        <v>1</v>
      </c>
      <c r="L224" s="41">
        <v>1</v>
      </c>
      <c r="M224" s="41">
        <v>1</v>
      </c>
      <c r="N224" s="41">
        <v>1</v>
      </c>
      <c r="O224" s="41">
        <v>1</v>
      </c>
      <c r="P224" s="41">
        <v>1</v>
      </c>
      <c r="Q224" s="130">
        <f t="shared" si="114"/>
        <v>13</v>
      </c>
      <c r="R224" s="64"/>
      <c r="S224" s="135">
        <f t="shared" si="113"/>
        <v>5.1020408163265302E-3</v>
      </c>
      <c r="T224" s="140"/>
      <c r="U224" s="50"/>
    </row>
    <row r="225" spans="2:23" ht="14" customHeight="1" thickTop="1" thickBot="1" x14ac:dyDescent="0.2">
      <c r="B225" s="28">
        <v>5</v>
      </c>
      <c r="C225" s="17" t="str">
        <f t="shared" si="112"/>
        <v>17 h à 19 h</v>
      </c>
      <c r="D225" s="41">
        <v>1</v>
      </c>
      <c r="E225" s="41">
        <v>1</v>
      </c>
      <c r="F225" s="41">
        <v>1</v>
      </c>
      <c r="G225" s="41">
        <v>1</v>
      </c>
      <c r="H225" s="41">
        <v>1</v>
      </c>
      <c r="I225" s="41">
        <v>1</v>
      </c>
      <c r="J225" s="41">
        <v>1</v>
      </c>
      <c r="K225" s="41">
        <v>1</v>
      </c>
      <c r="L225" s="41">
        <v>1</v>
      </c>
      <c r="M225" s="41">
        <v>1</v>
      </c>
      <c r="N225" s="41">
        <v>1</v>
      </c>
      <c r="O225" s="41">
        <v>1</v>
      </c>
      <c r="P225" s="41">
        <v>1</v>
      </c>
      <c r="Q225" s="130">
        <f t="shared" si="114"/>
        <v>13</v>
      </c>
      <c r="R225" s="64"/>
      <c r="S225" s="135">
        <f t="shared" si="113"/>
        <v>5.1020408163265302E-3</v>
      </c>
      <c r="T225" s="140"/>
      <c r="U225" s="50"/>
    </row>
    <row r="226" spans="2:23" ht="14" customHeight="1" thickTop="1" thickBot="1" x14ac:dyDescent="0.2">
      <c r="B226" s="28">
        <v>6</v>
      </c>
      <c r="C226" s="17" t="str">
        <f t="shared" si="112"/>
        <v>19 h à 23 h</v>
      </c>
      <c r="D226" s="41">
        <v>1</v>
      </c>
      <c r="E226" s="41">
        <v>1</v>
      </c>
      <c r="F226" s="41">
        <v>1</v>
      </c>
      <c r="G226" s="41">
        <v>1</v>
      </c>
      <c r="H226" s="41">
        <v>1</v>
      </c>
      <c r="I226" s="41">
        <v>1</v>
      </c>
      <c r="J226" s="41">
        <v>1</v>
      </c>
      <c r="K226" s="41">
        <v>1</v>
      </c>
      <c r="L226" s="41">
        <v>1</v>
      </c>
      <c r="M226" s="41">
        <v>1</v>
      </c>
      <c r="N226" s="41">
        <v>1</v>
      </c>
      <c r="O226" s="41">
        <v>1</v>
      </c>
      <c r="P226" s="41">
        <v>1</v>
      </c>
      <c r="Q226" s="130">
        <f t="shared" si="114"/>
        <v>13</v>
      </c>
      <c r="R226" s="64"/>
      <c r="S226" s="135">
        <f t="shared" si="113"/>
        <v>5.1020408163265302E-3</v>
      </c>
      <c r="T226" s="140"/>
      <c r="U226" s="50"/>
    </row>
    <row r="227" spans="2:23" ht="14" customHeight="1" thickTop="1" thickBot="1" x14ac:dyDescent="0.2">
      <c r="B227" s="28">
        <v>7</v>
      </c>
      <c r="C227" s="17" t="str">
        <f t="shared" si="112"/>
        <v>23 h à 6 h</v>
      </c>
      <c r="D227" s="18">
        <v>1</v>
      </c>
      <c r="E227" s="18">
        <v>1</v>
      </c>
      <c r="F227" s="18">
        <v>1</v>
      </c>
      <c r="G227" s="18">
        <v>1</v>
      </c>
      <c r="H227" s="18">
        <v>1</v>
      </c>
      <c r="I227" s="18">
        <v>1</v>
      </c>
      <c r="J227" s="18">
        <v>1</v>
      </c>
      <c r="K227" s="18">
        <v>1</v>
      </c>
      <c r="L227" s="18">
        <v>1</v>
      </c>
      <c r="M227" s="18">
        <v>1</v>
      </c>
      <c r="N227" s="18">
        <v>1</v>
      </c>
      <c r="O227" s="18">
        <v>1</v>
      </c>
      <c r="P227" s="18">
        <v>1</v>
      </c>
      <c r="Q227" s="130">
        <f t="shared" si="114"/>
        <v>13</v>
      </c>
      <c r="R227" s="64"/>
      <c r="S227" s="135">
        <f t="shared" si="113"/>
        <v>5.1020408163265302E-3</v>
      </c>
      <c r="T227" s="140"/>
      <c r="U227" s="50"/>
    </row>
    <row r="228" spans="2:23" ht="14" customHeight="1" thickTop="1" thickBot="1" x14ac:dyDescent="0.2">
      <c r="B228" s="29"/>
      <c r="C228" s="36" t="str">
        <f t="shared" ref="C228" si="115">+C210</f>
        <v>Total</v>
      </c>
      <c r="D228" s="31">
        <f t="shared" ref="D228:L228" si="116">+D221+D222+D223+D224+D225+D226+D227</f>
        <v>7</v>
      </c>
      <c r="E228" s="31">
        <f t="shared" si="116"/>
        <v>7</v>
      </c>
      <c r="F228" s="31">
        <f t="shared" si="116"/>
        <v>7</v>
      </c>
      <c r="G228" s="31">
        <f t="shared" si="116"/>
        <v>7</v>
      </c>
      <c r="H228" s="31">
        <f t="shared" si="116"/>
        <v>7</v>
      </c>
      <c r="I228" s="31">
        <f t="shared" si="116"/>
        <v>7</v>
      </c>
      <c r="J228" s="31">
        <f t="shared" si="116"/>
        <v>7</v>
      </c>
      <c r="K228" s="31">
        <f t="shared" si="116"/>
        <v>7</v>
      </c>
      <c r="L228" s="31">
        <f t="shared" si="116"/>
        <v>7</v>
      </c>
      <c r="M228" s="31">
        <f>+M221+M222+M223+M224+M225+M226+M227</f>
        <v>7</v>
      </c>
      <c r="N228" s="31">
        <f>+N221+N222+N223+N224+N225+N226+N227</f>
        <v>7</v>
      </c>
      <c r="O228" s="31">
        <f>+O221+O222+O223+O224+O225+O226+O227</f>
        <v>7</v>
      </c>
      <c r="P228" s="31">
        <f>+P221+P222+P223+P224+P225+P226+P227</f>
        <v>7</v>
      </c>
      <c r="Q228" s="116">
        <f>+SUM(D228:P228)</f>
        <v>91</v>
      </c>
      <c r="R228" s="66"/>
      <c r="S228" s="137" t="s">
        <v>1</v>
      </c>
      <c r="T228" s="138">
        <f t="shared" si="111"/>
        <v>3.5714285714285712E-2</v>
      </c>
      <c r="U228" s="52"/>
    </row>
    <row r="229" spans="2:23" ht="14" customHeight="1" thickTop="1" thickBot="1" x14ac:dyDescent="0.2">
      <c r="B229" s="33" t="s">
        <v>1</v>
      </c>
      <c r="C229" s="37" t="str">
        <f>C165</f>
        <v>Jeudi</v>
      </c>
      <c r="D229" s="25" t="s">
        <v>1</v>
      </c>
      <c r="E229" s="25" t="s">
        <v>1</v>
      </c>
      <c r="F229" s="25" t="s">
        <v>1</v>
      </c>
      <c r="G229" s="25" t="s">
        <v>1</v>
      </c>
      <c r="H229" s="25" t="s">
        <v>1</v>
      </c>
      <c r="I229" s="25" t="s">
        <v>1</v>
      </c>
      <c r="J229" s="25" t="s">
        <v>1</v>
      </c>
      <c r="K229" s="25" t="s">
        <v>1</v>
      </c>
      <c r="L229" s="25" t="s">
        <v>1</v>
      </c>
      <c r="M229" s="25" t="s">
        <v>1</v>
      </c>
      <c r="N229" s="25" t="s">
        <v>1</v>
      </c>
      <c r="O229" s="25" t="s">
        <v>1</v>
      </c>
      <c r="P229" s="120" t="s">
        <v>1</v>
      </c>
      <c r="Q229" s="121"/>
      <c r="R229" s="57"/>
      <c r="S229" s="23" t="s">
        <v>1</v>
      </c>
      <c r="T229" s="26" t="s">
        <v>1</v>
      </c>
      <c r="U229" s="57"/>
    </row>
    <row r="230" spans="2:23" ht="14" customHeight="1" thickTop="1" thickBot="1" x14ac:dyDescent="0.2">
      <c r="B230" s="27">
        <v>1</v>
      </c>
      <c r="C230" s="14" t="str">
        <f t="shared" ref="C230:C236" si="117">C221</f>
        <v>6 h à 9 h 30</v>
      </c>
      <c r="D230" s="15">
        <v>1</v>
      </c>
      <c r="E230" s="15">
        <v>1</v>
      </c>
      <c r="F230" s="15">
        <v>1</v>
      </c>
      <c r="G230" s="15">
        <v>1</v>
      </c>
      <c r="H230" s="15">
        <v>1</v>
      </c>
      <c r="I230" s="15">
        <v>1</v>
      </c>
      <c r="J230" s="15">
        <v>1</v>
      </c>
      <c r="K230" s="15">
        <v>1</v>
      </c>
      <c r="L230" s="15">
        <v>1</v>
      </c>
      <c r="M230" s="15">
        <v>1</v>
      </c>
      <c r="N230" s="15">
        <v>1</v>
      </c>
      <c r="O230" s="15">
        <v>1</v>
      </c>
      <c r="P230" s="15">
        <v>1</v>
      </c>
      <c r="Q230" s="129">
        <f>+SUM(D230:P230)</f>
        <v>13</v>
      </c>
      <c r="R230" s="64"/>
      <c r="S230" s="133">
        <f t="shared" ref="S230:S236" si="118">SUM(D230:P230)/$Q$267</f>
        <v>5.1020408163265302E-3</v>
      </c>
      <c r="T230" s="139"/>
      <c r="U230" s="50"/>
    </row>
    <row r="231" spans="2:23" ht="14" customHeight="1" thickTop="1" thickBot="1" x14ac:dyDescent="0.2">
      <c r="B231" s="28">
        <v>2</v>
      </c>
      <c r="C231" s="17" t="str">
        <f t="shared" si="117"/>
        <v>9 h 30 à 11 h 30</v>
      </c>
      <c r="D231" s="18">
        <v>1</v>
      </c>
      <c r="E231" s="18">
        <v>1</v>
      </c>
      <c r="F231" s="18">
        <v>1</v>
      </c>
      <c r="G231" s="18">
        <v>1</v>
      </c>
      <c r="H231" s="18">
        <v>1</v>
      </c>
      <c r="I231" s="18">
        <v>1</v>
      </c>
      <c r="J231" s="18">
        <v>1</v>
      </c>
      <c r="K231" s="18">
        <v>1</v>
      </c>
      <c r="L231" s="18">
        <v>1</v>
      </c>
      <c r="M231" s="18">
        <v>1</v>
      </c>
      <c r="N231" s="18">
        <v>1</v>
      </c>
      <c r="O231" s="18">
        <v>1</v>
      </c>
      <c r="P231" s="18">
        <v>1</v>
      </c>
      <c r="Q231" s="130">
        <f>+SUM(D231:P231)</f>
        <v>13</v>
      </c>
      <c r="R231" s="64"/>
      <c r="S231" s="135">
        <f t="shared" si="118"/>
        <v>5.1020408163265302E-3</v>
      </c>
      <c r="T231" s="140"/>
      <c r="U231" s="50"/>
    </row>
    <row r="232" spans="2:23" ht="14" customHeight="1" thickTop="1" thickBot="1" x14ac:dyDescent="0.2">
      <c r="B232" s="28">
        <v>3</v>
      </c>
      <c r="C232" s="17" t="str">
        <f t="shared" si="117"/>
        <v>11 h 30 à 14 h 30</v>
      </c>
      <c r="D232" s="41">
        <v>1</v>
      </c>
      <c r="E232" s="41">
        <v>1</v>
      </c>
      <c r="F232" s="41">
        <v>1</v>
      </c>
      <c r="G232" s="41">
        <v>1</v>
      </c>
      <c r="H232" s="41">
        <v>1</v>
      </c>
      <c r="I232" s="41">
        <v>1</v>
      </c>
      <c r="J232" s="41">
        <v>1</v>
      </c>
      <c r="K232" s="41">
        <v>1</v>
      </c>
      <c r="L232" s="41">
        <v>1</v>
      </c>
      <c r="M232" s="41">
        <v>1</v>
      </c>
      <c r="N232" s="41">
        <v>1</v>
      </c>
      <c r="O232" s="41">
        <v>1</v>
      </c>
      <c r="P232" s="41">
        <v>1</v>
      </c>
      <c r="Q232" s="130">
        <f t="shared" ref="Q232:Q236" si="119">+SUM(D232:P232)</f>
        <v>13</v>
      </c>
      <c r="R232" s="64"/>
      <c r="S232" s="135">
        <f t="shared" si="118"/>
        <v>5.1020408163265302E-3</v>
      </c>
      <c r="T232" s="140"/>
      <c r="U232" s="50"/>
    </row>
    <row r="233" spans="2:23" ht="14" customHeight="1" thickTop="1" thickBot="1" x14ac:dyDescent="0.2">
      <c r="B233" s="28">
        <v>4</v>
      </c>
      <c r="C233" s="17" t="str">
        <f t="shared" si="117"/>
        <v>14 h 30 à 17 h</v>
      </c>
      <c r="D233" s="41">
        <v>1</v>
      </c>
      <c r="E233" s="41">
        <v>1</v>
      </c>
      <c r="F233" s="41">
        <v>1</v>
      </c>
      <c r="G233" s="41">
        <v>1</v>
      </c>
      <c r="H233" s="41">
        <v>1</v>
      </c>
      <c r="I233" s="41">
        <v>1</v>
      </c>
      <c r="J233" s="41">
        <v>1</v>
      </c>
      <c r="K233" s="41">
        <v>1</v>
      </c>
      <c r="L233" s="41">
        <v>1</v>
      </c>
      <c r="M233" s="41">
        <v>1</v>
      </c>
      <c r="N233" s="41">
        <v>1</v>
      </c>
      <c r="O233" s="41">
        <v>1</v>
      </c>
      <c r="P233" s="41">
        <v>1</v>
      </c>
      <c r="Q233" s="130">
        <f t="shared" si="119"/>
        <v>13</v>
      </c>
      <c r="R233" s="64"/>
      <c r="S233" s="135">
        <f t="shared" si="118"/>
        <v>5.1020408163265302E-3</v>
      </c>
      <c r="T233" s="140"/>
      <c r="U233" s="50"/>
    </row>
    <row r="234" spans="2:23" ht="14" customHeight="1" thickTop="1" thickBot="1" x14ac:dyDescent="0.2">
      <c r="B234" s="28">
        <v>5</v>
      </c>
      <c r="C234" s="17" t="str">
        <f t="shared" si="117"/>
        <v>17 h à 19 h</v>
      </c>
      <c r="D234" s="41">
        <v>1</v>
      </c>
      <c r="E234" s="41">
        <v>1</v>
      </c>
      <c r="F234" s="41">
        <v>1</v>
      </c>
      <c r="G234" s="41">
        <v>1</v>
      </c>
      <c r="H234" s="41">
        <v>1</v>
      </c>
      <c r="I234" s="41">
        <v>1</v>
      </c>
      <c r="J234" s="41">
        <v>1</v>
      </c>
      <c r="K234" s="41">
        <v>1</v>
      </c>
      <c r="L234" s="41">
        <v>1</v>
      </c>
      <c r="M234" s="41">
        <v>1</v>
      </c>
      <c r="N234" s="41">
        <v>1</v>
      </c>
      <c r="O234" s="41">
        <v>1</v>
      </c>
      <c r="P234" s="41">
        <v>1</v>
      </c>
      <c r="Q234" s="130">
        <f t="shared" si="119"/>
        <v>13</v>
      </c>
      <c r="R234" s="64"/>
      <c r="S234" s="135">
        <f t="shared" si="118"/>
        <v>5.1020408163265302E-3</v>
      </c>
      <c r="T234" s="140"/>
      <c r="U234" s="50"/>
    </row>
    <row r="235" spans="2:23" ht="14" customHeight="1" thickTop="1" thickBot="1" x14ac:dyDescent="0.2">
      <c r="B235" s="28">
        <v>6</v>
      </c>
      <c r="C235" s="17" t="str">
        <f t="shared" si="117"/>
        <v>19 h à 23 h</v>
      </c>
      <c r="D235" s="41">
        <v>1</v>
      </c>
      <c r="E235" s="41">
        <v>1</v>
      </c>
      <c r="F235" s="41">
        <v>1</v>
      </c>
      <c r="G235" s="41">
        <v>1</v>
      </c>
      <c r="H235" s="41">
        <v>1</v>
      </c>
      <c r="I235" s="41">
        <v>1</v>
      </c>
      <c r="J235" s="41">
        <v>1</v>
      </c>
      <c r="K235" s="41">
        <v>1</v>
      </c>
      <c r="L235" s="41">
        <v>1</v>
      </c>
      <c r="M235" s="41">
        <v>1</v>
      </c>
      <c r="N235" s="41">
        <v>1</v>
      </c>
      <c r="O235" s="41">
        <v>1</v>
      </c>
      <c r="P235" s="41">
        <v>1</v>
      </c>
      <c r="Q235" s="130">
        <f t="shared" si="119"/>
        <v>13</v>
      </c>
      <c r="R235" s="64"/>
      <c r="S235" s="135">
        <f t="shared" si="118"/>
        <v>5.1020408163265302E-3</v>
      </c>
      <c r="T235" s="140"/>
      <c r="U235" s="50"/>
    </row>
    <row r="236" spans="2:23" ht="14" customHeight="1" thickTop="1" thickBot="1" x14ac:dyDescent="0.2">
      <c r="B236" s="28">
        <v>7</v>
      </c>
      <c r="C236" s="17" t="str">
        <f t="shared" si="117"/>
        <v>23 h à 6 h</v>
      </c>
      <c r="D236" s="18">
        <v>1</v>
      </c>
      <c r="E236" s="18">
        <v>1</v>
      </c>
      <c r="F236" s="18">
        <v>1</v>
      </c>
      <c r="G236" s="18">
        <v>1</v>
      </c>
      <c r="H236" s="18">
        <v>1</v>
      </c>
      <c r="I236" s="18">
        <v>1</v>
      </c>
      <c r="J236" s="18">
        <v>1</v>
      </c>
      <c r="K236" s="18">
        <v>1</v>
      </c>
      <c r="L236" s="18">
        <v>1</v>
      </c>
      <c r="M236" s="18">
        <v>1</v>
      </c>
      <c r="N236" s="18">
        <v>1</v>
      </c>
      <c r="O236" s="18">
        <v>1</v>
      </c>
      <c r="P236" s="18">
        <v>1</v>
      </c>
      <c r="Q236" s="130">
        <f t="shared" si="119"/>
        <v>13</v>
      </c>
      <c r="R236" s="64"/>
      <c r="S236" s="135">
        <f t="shared" si="118"/>
        <v>5.1020408163265302E-3</v>
      </c>
      <c r="T236" s="140"/>
      <c r="U236" s="50"/>
    </row>
    <row r="237" spans="2:23" ht="14" customHeight="1" thickTop="1" thickBot="1" x14ac:dyDescent="0.2">
      <c r="B237" s="29"/>
      <c r="C237" s="30" t="str">
        <f>+C228</f>
        <v>Total</v>
      </c>
      <c r="D237" s="31">
        <f t="shared" ref="D237:L237" si="120">+D230+D231+D232+D233+D234+D235+D236</f>
        <v>7</v>
      </c>
      <c r="E237" s="31">
        <f t="shared" si="120"/>
        <v>7</v>
      </c>
      <c r="F237" s="31">
        <f t="shared" si="120"/>
        <v>7</v>
      </c>
      <c r="G237" s="31">
        <f t="shared" si="120"/>
        <v>7</v>
      </c>
      <c r="H237" s="31">
        <f t="shared" si="120"/>
        <v>7</v>
      </c>
      <c r="I237" s="31">
        <f t="shared" si="120"/>
        <v>7</v>
      </c>
      <c r="J237" s="31">
        <f t="shared" si="120"/>
        <v>7</v>
      </c>
      <c r="K237" s="31">
        <f t="shared" si="120"/>
        <v>7</v>
      </c>
      <c r="L237" s="31">
        <f t="shared" si="120"/>
        <v>7</v>
      </c>
      <c r="M237" s="31">
        <f>+M230+M231+M232+M233+M234+M235+M236</f>
        <v>7</v>
      </c>
      <c r="N237" s="31">
        <f>+N230+N231+N232+N233+N234+N235+N236</f>
        <v>7</v>
      </c>
      <c r="O237" s="31">
        <f>+O230+O231+O232+O233+O234+O235+O236</f>
        <v>7</v>
      </c>
      <c r="P237" s="31">
        <f>+P230+P231+P232+P233+P234+P235+P236</f>
        <v>7</v>
      </c>
      <c r="Q237" s="116">
        <f>+SUM(D237:P237)</f>
        <v>91</v>
      </c>
      <c r="R237" s="66"/>
      <c r="S237" s="137" t="s">
        <v>1</v>
      </c>
      <c r="T237" s="138">
        <f t="shared" si="111"/>
        <v>3.5714285714285712E-2</v>
      </c>
      <c r="U237" s="52"/>
    </row>
    <row r="238" spans="2:23" ht="14" customHeight="1" thickTop="1" thickBot="1" x14ac:dyDescent="0.2">
      <c r="B238" s="33" t="s">
        <v>1</v>
      </c>
      <c r="C238" s="34" t="str">
        <f>+'[1]Calendrier 2021'!C34</f>
        <v>Vendredi</v>
      </c>
      <c r="D238" s="25" t="s">
        <v>1</v>
      </c>
      <c r="E238" s="25" t="s">
        <v>1</v>
      </c>
      <c r="F238" s="25" t="s">
        <v>1</v>
      </c>
      <c r="G238" s="25" t="s">
        <v>1</v>
      </c>
      <c r="H238" s="25" t="s">
        <v>1</v>
      </c>
      <c r="I238" s="25" t="s">
        <v>1</v>
      </c>
      <c r="J238" s="25" t="s">
        <v>1</v>
      </c>
      <c r="K238" s="25" t="s">
        <v>1</v>
      </c>
      <c r="L238" s="25" t="s">
        <v>1</v>
      </c>
      <c r="M238" s="25" t="s">
        <v>1</v>
      </c>
      <c r="N238" s="25" t="s">
        <v>1</v>
      </c>
      <c r="O238" s="25" t="s">
        <v>1</v>
      </c>
      <c r="P238" s="120" t="s">
        <v>1</v>
      </c>
      <c r="Q238" s="121"/>
      <c r="R238" s="57"/>
      <c r="S238" s="23" t="s">
        <v>1</v>
      </c>
      <c r="T238" s="26" t="s">
        <v>1</v>
      </c>
      <c r="U238" s="57"/>
      <c r="V238" s="57" t="s">
        <v>1</v>
      </c>
      <c r="W238" s="58"/>
    </row>
    <row r="239" spans="2:23" ht="14" customHeight="1" thickTop="1" thickBot="1" x14ac:dyDescent="0.2">
      <c r="B239" s="27">
        <v>1</v>
      </c>
      <c r="C239" s="14" t="str">
        <f t="shared" ref="C239:C245" si="121">C230</f>
        <v>6 h à 9 h 30</v>
      </c>
      <c r="D239" s="15">
        <v>1</v>
      </c>
      <c r="E239" s="15">
        <v>1</v>
      </c>
      <c r="F239" s="15">
        <v>1</v>
      </c>
      <c r="G239" s="15">
        <v>1</v>
      </c>
      <c r="H239" s="15">
        <v>1</v>
      </c>
      <c r="I239" s="15">
        <v>1</v>
      </c>
      <c r="J239" s="15">
        <v>1</v>
      </c>
      <c r="K239" s="15">
        <v>1</v>
      </c>
      <c r="L239" s="15">
        <v>1</v>
      </c>
      <c r="M239" s="15">
        <v>1</v>
      </c>
      <c r="N239" s="15">
        <v>1</v>
      </c>
      <c r="O239" s="15">
        <v>1</v>
      </c>
      <c r="P239" s="15">
        <v>1</v>
      </c>
      <c r="Q239" s="129">
        <f>+SUM(D239:P239)</f>
        <v>13</v>
      </c>
      <c r="R239" s="64"/>
      <c r="S239" s="133">
        <f t="shared" ref="S239:S245" si="122">SUM(D239:P239)/$Q$267</f>
        <v>5.1020408163265302E-3</v>
      </c>
      <c r="T239" s="139"/>
      <c r="U239" s="50"/>
    </row>
    <row r="240" spans="2:23" ht="14" customHeight="1" thickTop="1" thickBot="1" x14ac:dyDescent="0.2">
      <c r="B240" s="28">
        <v>2</v>
      </c>
      <c r="C240" s="17" t="str">
        <f t="shared" si="121"/>
        <v>9 h 30 à 11 h 30</v>
      </c>
      <c r="D240" s="18">
        <v>1</v>
      </c>
      <c r="E240" s="18">
        <v>1</v>
      </c>
      <c r="F240" s="18">
        <v>1</v>
      </c>
      <c r="G240" s="18">
        <v>1</v>
      </c>
      <c r="H240" s="18">
        <v>1</v>
      </c>
      <c r="I240" s="18">
        <v>1</v>
      </c>
      <c r="J240" s="18">
        <v>1</v>
      </c>
      <c r="K240" s="18">
        <v>1</v>
      </c>
      <c r="L240" s="18">
        <v>1</v>
      </c>
      <c r="M240" s="18">
        <v>1</v>
      </c>
      <c r="N240" s="18">
        <v>1</v>
      </c>
      <c r="O240" s="18">
        <v>1</v>
      </c>
      <c r="P240" s="18">
        <v>1</v>
      </c>
      <c r="Q240" s="130">
        <f>+SUM(D240:P240)</f>
        <v>13</v>
      </c>
      <c r="R240" s="64"/>
      <c r="S240" s="135">
        <f t="shared" si="122"/>
        <v>5.1020408163265302E-3</v>
      </c>
      <c r="T240" s="140"/>
      <c r="U240" s="50"/>
    </row>
    <row r="241" spans="2:23" ht="14" customHeight="1" thickTop="1" thickBot="1" x14ac:dyDescent="0.2">
      <c r="B241" s="28">
        <v>3</v>
      </c>
      <c r="C241" s="17" t="str">
        <f t="shared" si="121"/>
        <v>11 h 30 à 14 h 30</v>
      </c>
      <c r="D241" s="41">
        <v>1</v>
      </c>
      <c r="E241" s="41">
        <v>1</v>
      </c>
      <c r="F241" s="41">
        <v>1</v>
      </c>
      <c r="G241" s="41">
        <v>1</v>
      </c>
      <c r="H241" s="41">
        <v>1</v>
      </c>
      <c r="I241" s="41">
        <v>1</v>
      </c>
      <c r="J241" s="41">
        <v>1</v>
      </c>
      <c r="K241" s="41">
        <v>1</v>
      </c>
      <c r="L241" s="41">
        <v>1</v>
      </c>
      <c r="M241" s="41">
        <v>1</v>
      </c>
      <c r="N241" s="41">
        <v>1</v>
      </c>
      <c r="O241" s="41">
        <v>1</v>
      </c>
      <c r="P241" s="41">
        <v>1</v>
      </c>
      <c r="Q241" s="130">
        <f t="shared" ref="Q241:Q245" si="123">+SUM(D241:P241)</f>
        <v>13</v>
      </c>
      <c r="R241" s="64"/>
      <c r="S241" s="135">
        <f t="shared" si="122"/>
        <v>5.1020408163265302E-3</v>
      </c>
      <c r="T241" s="140"/>
      <c r="U241" s="50"/>
    </row>
    <row r="242" spans="2:23" ht="14" customHeight="1" thickTop="1" thickBot="1" x14ac:dyDescent="0.2">
      <c r="B242" s="28">
        <v>4</v>
      </c>
      <c r="C242" s="17" t="str">
        <f t="shared" si="121"/>
        <v>14 h 30 à 17 h</v>
      </c>
      <c r="D242" s="41">
        <v>1</v>
      </c>
      <c r="E242" s="41">
        <v>1</v>
      </c>
      <c r="F242" s="41">
        <v>1</v>
      </c>
      <c r="G242" s="41">
        <v>1</v>
      </c>
      <c r="H242" s="41">
        <v>1</v>
      </c>
      <c r="I242" s="41">
        <v>1</v>
      </c>
      <c r="J242" s="41">
        <v>1</v>
      </c>
      <c r="K242" s="41">
        <v>1</v>
      </c>
      <c r="L242" s="41">
        <v>1</v>
      </c>
      <c r="M242" s="41">
        <v>1</v>
      </c>
      <c r="N242" s="41">
        <v>1</v>
      </c>
      <c r="O242" s="41">
        <v>1</v>
      </c>
      <c r="P242" s="41">
        <v>1</v>
      </c>
      <c r="Q242" s="130">
        <f t="shared" si="123"/>
        <v>13</v>
      </c>
      <c r="R242" s="64"/>
      <c r="S242" s="135">
        <f t="shared" si="122"/>
        <v>5.1020408163265302E-3</v>
      </c>
      <c r="T242" s="140"/>
      <c r="U242" s="50"/>
    </row>
    <row r="243" spans="2:23" ht="14" customHeight="1" thickTop="1" thickBot="1" x14ac:dyDescent="0.2">
      <c r="B243" s="28">
        <v>5</v>
      </c>
      <c r="C243" s="17" t="str">
        <f t="shared" si="121"/>
        <v>17 h à 19 h</v>
      </c>
      <c r="D243" s="41">
        <v>1</v>
      </c>
      <c r="E243" s="41">
        <v>1</v>
      </c>
      <c r="F243" s="41">
        <v>1</v>
      </c>
      <c r="G243" s="41">
        <v>1</v>
      </c>
      <c r="H243" s="41">
        <v>1</v>
      </c>
      <c r="I243" s="41">
        <v>1</v>
      </c>
      <c r="J243" s="41">
        <v>1</v>
      </c>
      <c r="K243" s="41">
        <v>1</v>
      </c>
      <c r="L243" s="41">
        <v>1</v>
      </c>
      <c r="M243" s="41">
        <v>1</v>
      </c>
      <c r="N243" s="41">
        <v>1</v>
      </c>
      <c r="O243" s="41">
        <v>1</v>
      </c>
      <c r="P243" s="41">
        <v>1</v>
      </c>
      <c r="Q243" s="130">
        <f t="shared" si="123"/>
        <v>13</v>
      </c>
      <c r="R243" s="64"/>
      <c r="S243" s="135">
        <f t="shared" si="122"/>
        <v>5.1020408163265302E-3</v>
      </c>
      <c r="T243" s="140"/>
      <c r="U243" s="50"/>
    </row>
    <row r="244" spans="2:23" ht="14" customHeight="1" thickTop="1" thickBot="1" x14ac:dyDescent="0.2">
      <c r="B244" s="28">
        <v>6</v>
      </c>
      <c r="C244" s="17" t="str">
        <f t="shared" si="121"/>
        <v>19 h à 23 h</v>
      </c>
      <c r="D244" s="41">
        <v>1</v>
      </c>
      <c r="E244" s="41">
        <v>1</v>
      </c>
      <c r="F244" s="41">
        <v>1</v>
      </c>
      <c r="G244" s="41">
        <v>1</v>
      </c>
      <c r="H244" s="41">
        <v>1</v>
      </c>
      <c r="I244" s="41">
        <v>1</v>
      </c>
      <c r="J244" s="41">
        <v>1</v>
      </c>
      <c r="K244" s="41">
        <v>1</v>
      </c>
      <c r="L244" s="41">
        <v>1</v>
      </c>
      <c r="M244" s="41">
        <v>1</v>
      </c>
      <c r="N244" s="41">
        <v>1</v>
      </c>
      <c r="O244" s="41">
        <v>1</v>
      </c>
      <c r="P244" s="41">
        <v>1</v>
      </c>
      <c r="Q244" s="130">
        <f t="shared" si="123"/>
        <v>13</v>
      </c>
      <c r="R244" s="64"/>
      <c r="S244" s="135">
        <f t="shared" si="122"/>
        <v>5.1020408163265302E-3</v>
      </c>
      <c r="T244" s="140"/>
      <c r="U244" s="50"/>
    </row>
    <row r="245" spans="2:23" ht="14" customHeight="1" thickTop="1" thickBot="1" x14ac:dyDescent="0.2">
      <c r="B245" s="28">
        <v>7</v>
      </c>
      <c r="C245" s="17" t="str">
        <f t="shared" si="121"/>
        <v>23 h à 6 h</v>
      </c>
      <c r="D245" s="18">
        <v>1</v>
      </c>
      <c r="E245" s="18">
        <v>1</v>
      </c>
      <c r="F245" s="18">
        <v>1</v>
      </c>
      <c r="G245" s="18">
        <v>1</v>
      </c>
      <c r="H245" s="18">
        <v>1</v>
      </c>
      <c r="I245" s="18">
        <v>1</v>
      </c>
      <c r="J245" s="18">
        <v>1</v>
      </c>
      <c r="K245" s="18">
        <v>1</v>
      </c>
      <c r="L245" s="18">
        <v>1</v>
      </c>
      <c r="M245" s="18">
        <v>1</v>
      </c>
      <c r="N245" s="18">
        <v>1</v>
      </c>
      <c r="O245" s="18">
        <v>1</v>
      </c>
      <c r="P245" s="18">
        <v>1</v>
      </c>
      <c r="Q245" s="130">
        <f t="shared" si="123"/>
        <v>13</v>
      </c>
      <c r="R245" s="64"/>
      <c r="S245" s="135">
        <f t="shared" si="122"/>
        <v>5.1020408163265302E-3</v>
      </c>
      <c r="T245" s="140"/>
      <c r="U245" s="50"/>
    </row>
    <row r="246" spans="2:23" ht="14" customHeight="1" thickTop="1" thickBot="1" x14ac:dyDescent="0.2">
      <c r="B246" s="29"/>
      <c r="C246" s="36" t="str">
        <f t="shared" ref="C246" si="124">+C237</f>
        <v>Total</v>
      </c>
      <c r="D246" s="31">
        <f t="shared" ref="D246:L246" si="125">+D239+D240+D241+D242+D243+D244+D245</f>
        <v>7</v>
      </c>
      <c r="E246" s="31">
        <f t="shared" si="125"/>
        <v>7</v>
      </c>
      <c r="F246" s="31">
        <f t="shared" si="125"/>
        <v>7</v>
      </c>
      <c r="G246" s="31">
        <f t="shared" si="125"/>
        <v>7</v>
      </c>
      <c r="H246" s="31">
        <f t="shared" si="125"/>
        <v>7</v>
      </c>
      <c r="I246" s="31">
        <f t="shared" si="125"/>
        <v>7</v>
      </c>
      <c r="J246" s="31">
        <f t="shared" si="125"/>
        <v>7</v>
      </c>
      <c r="K246" s="31">
        <f t="shared" si="125"/>
        <v>7</v>
      </c>
      <c r="L246" s="31">
        <f t="shared" si="125"/>
        <v>7</v>
      </c>
      <c r="M246" s="31">
        <f>+M239+M240+M241+M242+M243+M244+M245</f>
        <v>7</v>
      </c>
      <c r="N246" s="31">
        <f>+N239+N240+N241+N242+N243+N244+N245</f>
        <v>7</v>
      </c>
      <c r="O246" s="31">
        <f>+O239+O240+O241+O242+O243+O244+O245</f>
        <v>7</v>
      </c>
      <c r="P246" s="31">
        <f>+P239+P240+P241+P242+P243+P244+P245</f>
        <v>7</v>
      </c>
      <c r="Q246" s="116">
        <f>+SUM(D246:P246)</f>
        <v>91</v>
      </c>
      <c r="R246" s="66"/>
      <c r="S246" s="137" t="s">
        <v>1</v>
      </c>
      <c r="T246" s="138">
        <f t="shared" si="111"/>
        <v>3.5714285714285712E-2</v>
      </c>
      <c r="U246" s="52"/>
      <c r="W246" s="57" t="s">
        <v>1</v>
      </c>
    </row>
    <row r="247" spans="2:23" ht="14" customHeight="1" thickTop="1" thickBot="1" x14ac:dyDescent="0.2">
      <c r="B247" s="33" t="s">
        <v>1</v>
      </c>
      <c r="C247" s="37" t="str">
        <f>C183</f>
        <v>Samedi</v>
      </c>
      <c r="D247" s="25" t="s">
        <v>1</v>
      </c>
      <c r="E247" s="25" t="s">
        <v>1</v>
      </c>
      <c r="F247" s="25" t="s">
        <v>1</v>
      </c>
      <c r="G247" s="25" t="s">
        <v>1</v>
      </c>
      <c r="H247" s="25" t="s">
        <v>1</v>
      </c>
      <c r="I247" s="25" t="s">
        <v>1</v>
      </c>
      <c r="J247" s="25" t="s">
        <v>1</v>
      </c>
      <c r="K247" s="25" t="s">
        <v>1</v>
      </c>
      <c r="L247" s="25" t="s">
        <v>1</v>
      </c>
      <c r="M247" s="25" t="s">
        <v>1</v>
      </c>
      <c r="N247" s="25" t="s">
        <v>1</v>
      </c>
      <c r="O247" s="25" t="s">
        <v>1</v>
      </c>
      <c r="P247" s="120" t="s">
        <v>1</v>
      </c>
      <c r="Q247" s="121"/>
      <c r="R247" s="57"/>
      <c r="S247" s="23" t="s">
        <v>1</v>
      </c>
      <c r="T247" s="26" t="s">
        <v>1</v>
      </c>
      <c r="U247" s="57" t="s">
        <v>1</v>
      </c>
      <c r="W247" s="57" t="s">
        <v>1</v>
      </c>
    </row>
    <row r="248" spans="2:23" ht="14" customHeight="1" thickTop="1" thickBot="1" x14ac:dyDescent="0.2">
      <c r="B248" s="27">
        <v>1</v>
      </c>
      <c r="C248" s="14" t="str">
        <f t="shared" ref="C248:C254" si="126">C239</f>
        <v>6 h à 9 h 30</v>
      </c>
      <c r="D248" s="15">
        <v>1</v>
      </c>
      <c r="E248" s="15">
        <v>1</v>
      </c>
      <c r="F248" s="15">
        <v>1</v>
      </c>
      <c r="G248" s="15">
        <v>1</v>
      </c>
      <c r="H248" s="15">
        <v>1</v>
      </c>
      <c r="I248" s="15">
        <v>1</v>
      </c>
      <c r="J248" s="15">
        <v>1</v>
      </c>
      <c r="K248" s="15">
        <v>1</v>
      </c>
      <c r="L248" s="15">
        <v>1</v>
      </c>
      <c r="M248" s="15">
        <v>1</v>
      </c>
      <c r="N248" s="15">
        <v>1</v>
      </c>
      <c r="O248" s="15">
        <v>1</v>
      </c>
      <c r="P248" s="15">
        <v>1</v>
      </c>
      <c r="Q248" s="129">
        <f>+SUM(D248:P248)</f>
        <v>13</v>
      </c>
      <c r="R248" s="64"/>
      <c r="S248" s="133">
        <f t="shared" ref="S248:S254" si="127">SUM(D248:P248)/$Q$267</f>
        <v>5.1020408163265302E-3</v>
      </c>
      <c r="T248" s="139"/>
      <c r="U248" s="50"/>
      <c r="W248" s="58"/>
    </row>
    <row r="249" spans="2:23" ht="14" customHeight="1" thickTop="1" thickBot="1" x14ac:dyDescent="0.2">
      <c r="B249" s="27">
        <v>2</v>
      </c>
      <c r="C249" s="17" t="str">
        <f t="shared" si="126"/>
        <v>9 h 30 à 11 h 30</v>
      </c>
      <c r="D249" s="18">
        <v>1</v>
      </c>
      <c r="E249" s="18">
        <v>1</v>
      </c>
      <c r="F249" s="18">
        <v>1</v>
      </c>
      <c r="G249" s="18">
        <v>1</v>
      </c>
      <c r="H249" s="18">
        <v>1</v>
      </c>
      <c r="I249" s="18">
        <v>1</v>
      </c>
      <c r="J249" s="18">
        <v>1</v>
      </c>
      <c r="K249" s="18">
        <v>1</v>
      </c>
      <c r="L249" s="18">
        <v>1</v>
      </c>
      <c r="M249" s="18">
        <v>1</v>
      </c>
      <c r="N249" s="18">
        <v>1</v>
      </c>
      <c r="O249" s="18">
        <v>1</v>
      </c>
      <c r="P249" s="18">
        <v>1</v>
      </c>
      <c r="Q249" s="130">
        <f>+SUM(D249:P249)</f>
        <v>13</v>
      </c>
      <c r="R249" s="64"/>
      <c r="S249" s="135">
        <f t="shared" si="127"/>
        <v>5.1020408163265302E-3</v>
      </c>
      <c r="T249" s="140"/>
      <c r="U249" s="50"/>
    </row>
    <row r="250" spans="2:23" ht="14" customHeight="1" thickTop="1" thickBot="1" x14ac:dyDescent="0.2">
      <c r="B250" s="27">
        <v>3</v>
      </c>
      <c r="C250" s="17" t="str">
        <f t="shared" si="126"/>
        <v>11 h 30 à 14 h 30</v>
      </c>
      <c r="D250" s="41">
        <v>1</v>
      </c>
      <c r="E250" s="41">
        <v>1</v>
      </c>
      <c r="F250" s="41">
        <v>1</v>
      </c>
      <c r="G250" s="41">
        <v>1</v>
      </c>
      <c r="H250" s="41">
        <v>1</v>
      </c>
      <c r="I250" s="41">
        <v>1</v>
      </c>
      <c r="J250" s="41">
        <v>1</v>
      </c>
      <c r="K250" s="41">
        <v>1</v>
      </c>
      <c r="L250" s="41">
        <v>1</v>
      </c>
      <c r="M250" s="41">
        <v>1</v>
      </c>
      <c r="N250" s="41">
        <v>1</v>
      </c>
      <c r="O250" s="41">
        <v>1</v>
      </c>
      <c r="P250" s="41">
        <v>1</v>
      </c>
      <c r="Q250" s="130">
        <f t="shared" ref="Q250:Q254" si="128">+SUM(D250:P250)</f>
        <v>13</v>
      </c>
      <c r="R250" s="64"/>
      <c r="S250" s="135">
        <f t="shared" si="127"/>
        <v>5.1020408163265302E-3</v>
      </c>
      <c r="T250" s="140"/>
      <c r="U250" s="50"/>
    </row>
    <row r="251" spans="2:23" ht="14" customHeight="1" thickTop="1" thickBot="1" x14ac:dyDescent="0.2">
      <c r="B251" s="27">
        <v>4</v>
      </c>
      <c r="C251" s="17" t="str">
        <f t="shared" si="126"/>
        <v>14 h 30 à 17 h</v>
      </c>
      <c r="D251" s="41">
        <v>1</v>
      </c>
      <c r="E251" s="41">
        <v>1</v>
      </c>
      <c r="F251" s="41">
        <v>1</v>
      </c>
      <c r="G251" s="41">
        <v>1</v>
      </c>
      <c r="H251" s="41">
        <v>1</v>
      </c>
      <c r="I251" s="41">
        <v>1</v>
      </c>
      <c r="J251" s="41">
        <v>1</v>
      </c>
      <c r="K251" s="41">
        <v>1</v>
      </c>
      <c r="L251" s="41">
        <v>1</v>
      </c>
      <c r="M251" s="41">
        <v>1</v>
      </c>
      <c r="N251" s="41">
        <v>1</v>
      </c>
      <c r="O251" s="41">
        <v>1</v>
      </c>
      <c r="P251" s="41">
        <v>1</v>
      </c>
      <c r="Q251" s="130">
        <f t="shared" si="128"/>
        <v>13</v>
      </c>
      <c r="R251" s="64"/>
      <c r="S251" s="135">
        <f t="shared" si="127"/>
        <v>5.1020408163265302E-3</v>
      </c>
      <c r="T251" s="140"/>
      <c r="U251" s="50"/>
    </row>
    <row r="252" spans="2:23" ht="14" customHeight="1" thickTop="1" thickBot="1" x14ac:dyDescent="0.2">
      <c r="B252" s="27">
        <v>5</v>
      </c>
      <c r="C252" s="17" t="str">
        <f t="shared" si="126"/>
        <v>17 h à 19 h</v>
      </c>
      <c r="D252" s="41">
        <v>1</v>
      </c>
      <c r="E252" s="41">
        <v>1</v>
      </c>
      <c r="F252" s="41">
        <v>1</v>
      </c>
      <c r="G252" s="41">
        <v>1</v>
      </c>
      <c r="H252" s="41">
        <v>1</v>
      </c>
      <c r="I252" s="41">
        <v>1</v>
      </c>
      <c r="J252" s="41">
        <v>1</v>
      </c>
      <c r="K252" s="41">
        <v>1</v>
      </c>
      <c r="L252" s="41">
        <v>1</v>
      </c>
      <c r="M252" s="41">
        <v>1</v>
      </c>
      <c r="N252" s="41">
        <v>1</v>
      </c>
      <c r="O252" s="41">
        <v>1</v>
      </c>
      <c r="P252" s="41">
        <v>1</v>
      </c>
      <c r="Q252" s="130">
        <f t="shared" si="128"/>
        <v>13</v>
      </c>
      <c r="R252" s="64"/>
      <c r="S252" s="135">
        <f t="shared" si="127"/>
        <v>5.1020408163265302E-3</v>
      </c>
      <c r="T252" s="140"/>
      <c r="U252" s="50"/>
    </row>
    <row r="253" spans="2:23" ht="14" customHeight="1" thickTop="1" thickBot="1" x14ac:dyDescent="0.2">
      <c r="B253" s="27">
        <v>6</v>
      </c>
      <c r="C253" s="17" t="str">
        <f t="shared" si="126"/>
        <v>19 h à 23 h</v>
      </c>
      <c r="D253" s="41">
        <v>1</v>
      </c>
      <c r="E253" s="41">
        <v>1</v>
      </c>
      <c r="F253" s="41">
        <v>1</v>
      </c>
      <c r="G253" s="41">
        <v>1</v>
      </c>
      <c r="H253" s="41">
        <v>1</v>
      </c>
      <c r="I253" s="41">
        <v>1</v>
      </c>
      <c r="J253" s="41">
        <v>1</v>
      </c>
      <c r="K253" s="41">
        <v>1</v>
      </c>
      <c r="L253" s="41">
        <v>1</v>
      </c>
      <c r="M253" s="41">
        <v>1</v>
      </c>
      <c r="N253" s="41">
        <v>1</v>
      </c>
      <c r="O253" s="41">
        <v>1</v>
      </c>
      <c r="P253" s="41">
        <v>1</v>
      </c>
      <c r="Q253" s="130">
        <f t="shared" si="128"/>
        <v>13</v>
      </c>
      <c r="R253" s="64"/>
      <c r="S253" s="135">
        <f t="shared" si="127"/>
        <v>5.1020408163265302E-3</v>
      </c>
      <c r="T253" s="140"/>
      <c r="U253" s="50"/>
    </row>
    <row r="254" spans="2:23" ht="14" customHeight="1" thickTop="1" thickBot="1" x14ac:dyDescent="0.2">
      <c r="B254" s="27">
        <v>7</v>
      </c>
      <c r="C254" s="17" t="str">
        <f t="shared" si="126"/>
        <v>23 h à 6 h</v>
      </c>
      <c r="D254" s="18">
        <v>1</v>
      </c>
      <c r="E254" s="18">
        <v>1</v>
      </c>
      <c r="F254" s="18">
        <v>1</v>
      </c>
      <c r="G254" s="18">
        <v>1</v>
      </c>
      <c r="H254" s="18">
        <v>1</v>
      </c>
      <c r="I254" s="18">
        <v>1</v>
      </c>
      <c r="J254" s="18">
        <v>1</v>
      </c>
      <c r="K254" s="18">
        <v>1</v>
      </c>
      <c r="L254" s="18">
        <v>1</v>
      </c>
      <c r="M254" s="18">
        <v>1</v>
      </c>
      <c r="N254" s="18">
        <v>1</v>
      </c>
      <c r="O254" s="18">
        <v>1</v>
      </c>
      <c r="P254" s="18">
        <v>1</v>
      </c>
      <c r="Q254" s="130">
        <f t="shared" si="128"/>
        <v>13</v>
      </c>
      <c r="R254" s="64"/>
      <c r="S254" s="135">
        <f t="shared" si="127"/>
        <v>5.1020408163265302E-3</v>
      </c>
      <c r="T254" s="140"/>
      <c r="U254" s="50"/>
    </row>
    <row r="255" spans="2:23" ht="14" customHeight="1" thickTop="1" thickBot="1" x14ac:dyDescent="0.2">
      <c r="B255" s="29"/>
      <c r="C255" s="36" t="str">
        <f t="shared" ref="C255" si="129">+C246</f>
        <v>Total</v>
      </c>
      <c r="D255" s="31">
        <f t="shared" ref="D255:L255" si="130">+D248+D249+D250+D251+D252+D253+D254</f>
        <v>7</v>
      </c>
      <c r="E255" s="31">
        <f t="shared" si="130"/>
        <v>7</v>
      </c>
      <c r="F255" s="31">
        <f t="shared" si="130"/>
        <v>7</v>
      </c>
      <c r="G255" s="31">
        <f t="shared" si="130"/>
        <v>7</v>
      </c>
      <c r="H255" s="31">
        <f t="shared" si="130"/>
        <v>7</v>
      </c>
      <c r="I255" s="31">
        <f t="shared" si="130"/>
        <v>7</v>
      </c>
      <c r="J255" s="31">
        <f t="shared" si="130"/>
        <v>7</v>
      </c>
      <c r="K255" s="31">
        <f t="shared" si="130"/>
        <v>7</v>
      </c>
      <c r="L255" s="31">
        <f t="shared" si="130"/>
        <v>7</v>
      </c>
      <c r="M255" s="31">
        <f>+M248+M249+M250+M251+M252+M253+M254</f>
        <v>7</v>
      </c>
      <c r="N255" s="31">
        <f>+N248+N249+N250+N251+N252+N253+N254</f>
        <v>7</v>
      </c>
      <c r="O255" s="31">
        <f>+O248+O249+O250+O251+O252+O253+O254</f>
        <v>7</v>
      </c>
      <c r="P255" s="31">
        <f>+P248+P249+P250+P251+P252+P253+P254</f>
        <v>7</v>
      </c>
      <c r="Q255" s="116">
        <f>+SUM(D255:P255)</f>
        <v>91</v>
      </c>
      <c r="R255" s="66"/>
      <c r="S255" s="137" t="s">
        <v>1</v>
      </c>
      <c r="T255" s="138">
        <f t="shared" si="111"/>
        <v>3.5714285714285712E-2</v>
      </c>
      <c r="U255" s="52"/>
      <c r="V255" s="58"/>
      <c r="W255" s="58"/>
    </row>
    <row r="256" spans="2:23" ht="14" customHeight="1" thickTop="1" thickBot="1" x14ac:dyDescent="0.2">
      <c r="B256" s="33" t="s">
        <v>1</v>
      </c>
      <c r="C256" s="34" t="str">
        <f>C192</f>
        <v>Dimanche</v>
      </c>
      <c r="D256" s="25" t="s">
        <v>1</v>
      </c>
      <c r="E256" s="25" t="s">
        <v>1</v>
      </c>
      <c r="F256" s="25" t="s">
        <v>1</v>
      </c>
      <c r="G256" s="25" t="s">
        <v>1</v>
      </c>
      <c r="H256" s="25" t="s">
        <v>1</v>
      </c>
      <c r="I256" s="25" t="s">
        <v>1</v>
      </c>
      <c r="J256" s="25" t="s">
        <v>1</v>
      </c>
      <c r="K256" s="25" t="s">
        <v>1</v>
      </c>
      <c r="L256" s="25" t="s">
        <v>1</v>
      </c>
      <c r="M256" s="25" t="s">
        <v>1</v>
      </c>
      <c r="N256" s="25" t="s">
        <v>1</v>
      </c>
      <c r="O256" s="25" t="s">
        <v>1</v>
      </c>
      <c r="P256" s="120" t="s">
        <v>1</v>
      </c>
      <c r="Q256" s="121"/>
      <c r="R256" s="57"/>
      <c r="S256" s="23" t="s">
        <v>1</v>
      </c>
      <c r="T256" s="26" t="s">
        <v>1</v>
      </c>
      <c r="U256" s="57" t="s">
        <v>1</v>
      </c>
      <c r="V256" s="57" t="s">
        <v>1</v>
      </c>
      <c r="W256" s="57" t="s">
        <v>1</v>
      </c>
    </row>
    <row r="257" spans="2:22" ht="14" customHeight="1" thickTop="1" thickBot="1" x14ac:dyDescent="0.2">
      <c r="B257" s="28">
        <v>1</v>
      </c>
      <c r="C257" s="14" t="str">
        <f t="shared" ref="C257:C263" si="131">C248</f>
        <v>6 h à 9 h 30</v>
      </c>
      <c r="D257" s="15">
        <v>1</v>
      </c>
      <c r="E257" s="15">
        <v>1</v>
      </c>
      <c r="F257" s="15">
        <v>1</v>
      </c>
      <c r="G257" s="15">
        <v>1</v>
      </c>
      <c r="H257" s="15">
        <v>1</v>
      </c>
      <c r="I257" s="15">
        <v>1</v>
      </c>
      <c r="J257" s="15">
        <v>1</v>
      </c>
      <c r="K257" s="15">
        <v>1</v>
      </c>
      <c r="L257" s="15">
        <v>1</v>
      </c>
      <c r="M257" s="15">
        <v>1</v>
      </c>
      <c r="N257" s="15">
        <v>1</v>
      </c>
      <c r="O257" s="15">
        <v>1</v>
      </c>
      <c r="P257" s="15">
        <v>1</v>
      </c>
      <c r="Q257" s="129">
        <f>+SUM(D257:P257)</f>
        <v>13</v>
      </c>
      <c r="R257" s="64"/>
      <c r="S257" s="133">
        <f t="shared" ref="S257:S263" si="132">SUM(D257:P257)/$Q$267</f>
        <v>5.1020408163265302E-3</v>
      </c>
      <c r="T257" s="139"/>
      <c r="U257" s="50"/>
    </row>
    <row r="258" spans="2:22" ht="14" customHeight="1" thickTop="1" thickBot="1" x14ac:dyDescent="0.2">
      <c r="B258" s="27">
        <v>2</v>
      </c>
      <c r="C258" s="17" t="str">
        <f t="shared" si="131"/>
        <v>9 h 30 à 11 h 30</v>
      </c>
      <c r="D258" s="18">
        <v>1</v>
      </c>
      <c r="E258" s="18">
        <v>1</v>
      </c>
      <c r="F258" s="18">
        <v>1</v>
      </c>
      <c r="G258" s="18">
        <v>1</v>
      </c>
      <c r="H258" s="18">
        <v>1</v>
      </c>
      <c r="I258" s="18">
        <v>1</v>
      </c>
      <c r="J258" s="18">
        <v>1</v>
      </c>
      <c r="K258" s="18">
        <v>1</v>
      </c>
      <c r="L258" s="18">
        <v>1</v>
      </c>
      <c r="M258" s="18">
        <v>1</v>
      </c>
      <c r="N258" s="18">
        <v>1</v>
      </c>
      <c r="O258" s="18">
        <v>1</v>
      </c>
      <c r="P258" s="18">
        <v>1</v>
      </c>
      <c r="Q258" s="130">
        <f>+SUM(D258:P258)</f>
        <v>13</v>
      </c>
      <c r="R258" s="64"/>
      <c r="S258" s="135">
        <f t="shared" si="132"/>
        <v>5.1020408163265302E-3</v>
      </c>
      <c r="T258" s="140"/>
      <c r="U258" s="50"/>
    </row>
    <row r="259" spans="2:22" ht="14" customHeight="1" thickTop="1" thickBot="1" x14ac:dyDescent="0.2">
      <c r="B259" s="27">
        <v>3</v>
      </c>
      <c r="C259" s="17" t="str">
        <f t="shared" si="131"/>
        <v>11 h 30 à 14 h 30</v>
      </c>
      <c r="D259" s="41">
        <v>1</v>
      </c>
      <c r="E259" s="41">
        <v>1</v>
      </c>
      <c r="F259" s="41">
        <v>1</v>
      </c>
      <c r="G259" s="41">
        <v>1</v>
      </c>
      <c r="H259" s="41">
        <v>1</v>
      </c>
      <c r="I259" s="41">
        <v>1</v>
      </c>
      <c r="J259" s="41">
        <v>1</v>
      </c>
      <c r="K259" s="41">
        <v>1</v>
      </c>
      <c r="L259" s="41">
        <v>1</v>
      </c>
      <c r="M259" s="41">
        <v>1</v>
      </c>
      <c r="N259" s="41">
        <v>1</v>
      </c>
      <c r="O259" s="41">
        <v>1</v>
      </c>
      <c r="P259" s="41">
        <v>1</v>
      </c>
      <c r="Q259" s="130">
        <f t="shared" ref="Q259:Q263" si="133">+SUM(D259:P259)</f>
        <v>13</v>
      </c>
      <c r="R259" s="64"/>
      <c r="S259" s="135">
        <f t="shared" si="132"/>
        <v>5.1020408163265302E-3</v>
      </c>
      <c r="T259" s="140"/>
      <c r="U259" s="50"/>
    </row>
    <row r="260" spans="2:22" ht="14" customHeight="1" thickTop="1" thickBot="1" x14ac:dyDescent="0.2">
      <c r="B260" s="27">
        <v>4</v>
      </c>
      <c r="C260" s="17" t="str">
        <f t="shared" si="131"/>
        <v>14 h 30 à 17 h</v>
      </c>
      <c r="D260" s="41">
        <v>1</v>
      </c>
      <c r="E260" s="41">
        <v>1</v>
      </c>
      <c r="F260" s="41">
        <v>1</v>
      </c>
      <c r="G260" s="41">
        <v>1</v>
      </c>
      <c r="H260" s="41">
        <v>1</v>
      </c>
      <c r="I260" s="41">
        <v>1</v>
      </c>
      <c r="J260" s="41">
        <v>1</v>
      </c>
      <c r="K260" s="41">
        <v>1</v>
      </c>
      <c r="L260" s="41">
        <v>1</v>
      </c>
      <c r="M260" s="41">
        <v>1</v>
      </c>
      <c r="N260" s="41">
        <v>1</v>
      </c>
      <c r="O260" s="41">
        <v>1</v>
      </c>
      <c r="P260" s="41">
        <v>1</v>
      </c>
      <c r="Q260" s="130">
        <f t="shared" si="133"/>
        <v>13</v>
      </c>
      <c r="R260" s="64"/>
      <c r="S260" s="135">
        <f t="shared" si="132"/>
        <v>5.1020408163265302E-3</v>
      </c>
      <c r="T260" s="140"/>
      <c r="U260" s="50"/>
    </row>
    <row r="261" spans="2:22" ht="14" customHeight="1" thickTop="1" thickBot="1" x14ac:dyDescent="0.2">
      <c r="B261" s="27">
        <v>5</v>
      </c>
      <c r="C261" s="17" t="str">
        <f t="shared" si="131"/>
        <v>17 h à 19 h</v>
      </c>
      <c r="D261" s="41">
        <v>1</v>
      </c>
      <c r="E261" s="41">
        <v>1</v>
      </c>
      <c r="F261" s="41">
        <v>1</v>
      </c>
      <c r="G261" s="41">
        <v>1</v>
      </c>
      <c r="H261" s="41">
        <v>1</v>
      </c>
      <c r="I261" s="41">
        <v>1</v>
      </c>
      <c r="J261" s="41">
        <v>1</v>
      </c>
      <c r="K261" s="41">
        <v>1</v>
      </c>
      <c r="L261" s="41">
        <v>1</v>
      </c>
      <c r="M261" s="41">
        <v>1</v>
      </c>
      <c r="N261" s="41">
        <v>1</v>
      </c>
      <c r="O261" s="41">
        <v>1</v>
      </c>
      <c r="P261" s="41">
        <v>1</v>
      </c>
      <c r="Q261" s="130">
        <f t="shared" si="133"/>
        <v>13</v>
      </c>
      <c r="R261" s="64"/>
      <c r="S261" s="135">
        <f t="shared" si="132"/>
        <v>5.1020408163265302E-3</v>
      </c>
      <c r="T261" s="140"/>
      <c r="U261" s="50"/>
    </row>
    <row r="262" spans="2:22" ht="14" customHeight="1" thickTop="1" thickBot="1" x14ac:dyDescent="0.2">
      <c r="B262" s="27">
        <v>6</v>
      </c>
      <c r="C262" s="17" t="str">
        <f t="shared" si="131"/>
        <v>19 h à 23 h</v>
      </c>
      <c r="D262" s="41">
        <v>1</v>
      </c>
      <c r="E262" s="41">
        <v>1</v>
      </c>
      <c r="F262" s="41">
        <v>1</v>
      </c>
      <c r="G262" s="41">
        <v>1</v>
      </c>
      <c r="H262" s="41">
        <v>1</v>
      </c>
      <c r="I262" s="41">
        <v>1</v>
      </c>
      <c r="J262" s="41">
        <v>1</v>
      </c>
      <c r="K262" s="41">
        <v>1</v>
      </c>
      <c r="L262" s="41">
        <v>1</v>
      </c>
      <c r="M262" s="41">
        <v>1</v>
      </c>
      <c r="N262" s="41">
        <v>1</v>
      </c>
      <c r="O262" s="41">
        <v>1</v>
      </c>
      <c r="P262" s="41">
        <v>1</v>
      </c>
      <c r="Q262" s="130">
        <f t="shared" si="133"/>
        <v>13</v>
      </c>
      <c r="R262" s="64"/>
      <c r="S262" s="135">
        <f t="shared" si="132"/>
        <v>5.1020408163265302E-3</v>
      </c>
      <c r="T262" s="140"/>
      <c r="U262" s="50"/>
    </row>
    <row r="263" spans="2:22" ht="14" customHeight="1" thickTop="1" thickBot="1" x14ac:dyDescent="0.2">
      <c r="B263" s="27">
        <v>7</v>
      </c>
      <c r="C263" s="17" t="str">
        <f t="shared" si="131"/>
        <v>23 h à 6 h</v>
      </c>
      <c r="D263" s="18">
        <v>1</v>
      </c>
      <c r="E263" s="18">
        <v>1</v>
      </c>
      <c r="F263" s="18">
        <v>1</v>
      </c>
      <c r="G263" s="18">
        <v>1</v>
      </c>
      <c r="H263" s="18">
        <v>1</v>
      </c>
      <c r="I263" s="18">
        <v>1</v>
      </c>
      <c r="J263" s="18">
        <v>1</v>
      </c>
      <c r="K263" s="18">
        <v>1</v>
      </c>
      <c r="L263" s="18">
        <v>1</v>
      </c>
      <c r="M263" s="18">
        <v>1</v>
      </c>
      <c r="N263" s="18">
        <v>1</v>
      </c>
      <c r="O263" s="18">
        <v>1</v>
      </c>
      <c r="P263" s="18">
        <v>1</v>
      </c>
      <c r="Q263" s="130">
        <f t="shared" si="133"/>
        <v>13</v>
      </c>
      <c r="R263" s="64"/>
      <c r="S263" s="135">
        <f t="shared" si="132"/>
        <v>5.1020408163265302E-3</v>
      </c>
      <c r="T263" s="140"/>
      <c r="U263" s="50"/>
    </row>
    <row r="264" spans="2:22" ht="14" customHeight="1" thickTop="1" thickBot="1" x14ac:dyDescent="0.2">
      <c r="B264" s="29"/>
      <c r="C264" s="125" t="str">
        <f t="shared" ref="C264" si="134">+C255</f>
        <v>Total</v>
      </c>
      <c r="D264" s="126">
        <f t="shared" ref="D264:L264" si="135">+D257+D258+D259+D260+D261+D262+D263</f>
        <v>7</v>
      </c>
      <c r="E264" s="126">
        <f t="shared" si="135"/>
        <v>7</v>
      </c>
      <c r="F264" s="126">
        <f t="shared" si="135"/>
        <v>7</v>
      </c>
      <c r="G264" s="126">
        <f t="shared" si="135"/>
        <v>7</v>
      </c>
      <c r="H264" s="126">
        <f t="shared" si="135"/>
        <v>7</v>
      </c>
      <c r="I264" s="126">
        <f t="shared" si="135"/>
        <v>7</v>
      </c>
      <c r="J264" s="126">
        <f t="shared" si="135"/>
        <v>7</v>
      </c>
      <c r="K264" s="126">
        <f t="shared" si="135"/>
        <v>7</v>
      </c>
      <c r="L264" s="126">
        <f t="shared" si="135"/>
        <v>7</v>
      </c>
      <c r="M264" s="126">
        <f>+M257+M258+M259+M260+M261+M262+M263</f>
        <v>7</v>
      </c>
      <c r="N264" s="126">
        <f>+N257+N258+N259+N260+N261+N262+N263</f>
        <v>7</v>
      </c>
      <c r="O264" s="126">
        <f>+O257+O258+O259+O260+O261+O262+O263</f>
        <v>7</v>
      </c>
      <c r="P264" s="126">
        <f>+P257+P258+P259+P260+P261+P262+P263</f>
        <v>7</v>
      </c>
      <c r="Q264" s="116">
        <f>+SUM(D264:P264)</f>
        <v>91</v>
      </c>
      <c r="R264" s="66"/>
      <c r="S264" s="137" t="s">
        <v>1</v>
      </c>
      <c r="T264" s="138">
        <f t="shared" si="111"/>
        <v>3.5714285714285712E-2</v>
      </c>
      <c r="U264" s="52"/>
    </row>
    <row r="265" spans="2:22" ht="14" customHeight="1" thickTop="1" thickBot="1" x14ac:dyDescent="0.2">
      <c r="B265" s="566" t="s">
        <v>1</v>
      </c>
      <c r="C265" s="567"/>
      <c r="D265" s="567"/>
      <c r="E265" s="567"/>
      <c r="F265" s="567"/>
      <c r="G265" s="567"/>
      <c r="H265" s="567"/>
      <c r="I265" s="567"/>
      <c r="J265" s="567"/>
      <c r="K265" s="567"/>
      <c r="L265" s="567"/>
      <c r="M265" s="567"/>
      <c r="N265" s="567"/>
      <c r="O265" s="567"/>
      <c r="P265" s="568"/>
      <c r="Q265" s="569"/>
      <c r="R265" s="56"/>
      <c r="S265" s="73">
        <f>SUM(S11:S264)</f>
        <v>0.99999999999999556</v>
      </c>
      <c r="T265" s="148">
        <f>SUM(T11:T264)</f>
        <v>0.99999999999999967</v>
      </c>
      <c r="U265" s="132"/>
      <c r="V265" s="71"/>
    </row>
    <row r="266" spans="2:22" ht="14" customHeight="1" thickTop="1" thickBot="1" x14ac:dyDescent="0.2">
      <c r="R266" s="58"/>
      <c r="S266" s="58"/>
      <c r="T266" s="58"/>
    </row>
    <row r="267" spans="2:22" ht="14" customHeight="1" thickTop="1" x14ac:dyDescent="0.15">
      <c r="B267" s="558" t="s">
        <v>14</v>
      </c>
      <c r="C267" s="559"/>
      <c r="D267" s="43">
        <f>+D18+D27+D36+D45+D54+D63+D72+D82+D91+D100+D109+D118+D127+D136+D146+D155+D164+D173+D182+D191+D200+D210+D219+D228+D237+D246+D255+D264</f>
        <v>196</v>
      </c>
      <c r="E267" s="43">
        <f t="shared" ref="E267:P267" si="136">+E18+E27+E36+E45+E54+E63+E72+E82+E91+E100+E109+E118+E127+E136+E146+E155+E164+E173+E182+E191+E200+E210+E219+E228+E237+E246+E255+E264</f>
        <v>196</v>
      </c>
      <c r="F267" s="43">
        <f t="shared" si="136"/>
        <v>196</v>
      </c>
      <c r="G267" s="43">
        <f>+G18+G27+G36+G45+G54+G63+G72+G82+G91+G100+G109+G118+G127+G136+G146+G155+G164+G173+G182+G191+G200+G210+G219+G228+G237+G246+G255+G264</f>
        <v>196</v>
      </c>
      <c r="H267" s="43">
        <f t="shared" si="136"/>
        <v>196</v>
      </c>
      <c r="I267" s="43">
        <f t="shared" si="136"/>
        <v>196</v>
      </c>
      <c r="J267" s="43">
        <f t="shared" si="136"/>
        <v>196</v>
      </c>
      <c r="K267" s="43">
        <f t="shared" si="136"/>
        <v>196</v>
      </c>
      <c r="L267" s="43">
        <f t="shared" si="136"/>
        <v>196</v>
      </c>
      <c r="M267" s="43">
        <f t="shared" si="136"/>
        <v>196</v>
      </c>
      <c r="N267" s="43">
        <f t="shared" si="136"/>
        <v>196</v>
      </c>
      <c r="O267" s="43">
        <f t="shared" si="136"/>
        <v>196</v>
      </c>
      <c r="P267" s="43">
        <f t="shared" si="136"/>
        <v>196</v>
      </c>
      <c r="Q267" s="43">
        <f>+SUM(D267:P267)</f>
        <v>2548</v>
      </c>
      <c r="R267" s="43"/>
      <c r="S267" s="42" t="s">
        <v>13</v>
      </c>
      <c r="T267" s="44"/>
    </row>
    <row r="268" spans="2:22" ht="14" customHeight="1" thickBot="1" x14ac:dyDescent="0.2">
      <c r="B268" s="556" t="s">
        <v>44</v>
      </c>
      <c r="C268" s="557"/>
      <c r="D268" s="45">
        <f t="shared" ref="D268:P268" si="137">+D267/D8</f>
        <v>7</v>
      </c>
      <c r="E268" s="45">
        <f t="shared" si="137"/>
        <v>7</v>
      </c>
      <c r="F268" s="45">
        <f t="shared" si="137"/>
        <v>7</v>
      </c>
      <c r="G268" s="45">
        <f t="shared" si="137"/>
        <v>7</v>
      </c>
      <c r="H268" s="45">
        <f t="shared" si="137"/>
        <v>7</v>
      </c>
      <c r="I268" s="45">
        <f t="shared" si="137"/>
        <v>7</v>
      </c>
      <c r="J268" s="45">
        <f t="shared" si="137"/>
        <v>7</v>
      </c>
      <c r="K268" s="45">
        <f t="shared" si="137"/>
        <v>7</v>
      </c>
      <c r="L268" s="45">
        <f t="shared" si="137"/>
        <v>7</v>
      </c>
      <c r="M268" s="45">
        <f t="shared" si="137"/>
        <v>7</v>
      </c>
      <c r="N268" s="45">
        <f t="shared" si="137"/>
        <v>7</v>
      </c>
      <c r="O268" s="45">
        <f t="shared" si="137"/>
        <v>7</v>
      </c>
      <c r="P268" s="45">
        <f t="shared" si="137"/>
        <v>7</v>
      </c>
      <c r="Q268" s="45">
        <f>Q267/Q8</f>
        <v>7</v>
      </c>
      <c r="R268" s="45"/>
      <c r="S268" s="560" t="s">
        <v>45</v>
      </c>
      <c r="T268" s="561"/>
    </row>
    <row r="269" spans="2:22" ht="14" customHeight="1" thickTop="1" thickBot="1" x14ac:dyDescent="0.2">
      <c r="P269" s="46" t="s">
        <v>1</v>
      </c>
      <c r="Q269" s="46"/>
      <c r="R269" s="67"/>
      <c r="S269" s="67"/>
      <c r="T269" s="67"/>
      <c r="U269" s="46"/>
    </row>
    <row r="270" spans="2:22" ht="14" customHeight="1" thickTop="1" x14ac:dyDescent="0.15">
      <c r="B270" s="558" t="s">
        <v>34</v>
      </c>
      <c r="C270" s="559"/>
      <c r="D270" s="74">
        <f t="shared" ref="D270:P270" si="138">D267/D7</f>
        <v>7</v>
      </c>
      <c r="E270" s="74">
        <f t="shared" si="138"/>
        <v>7</v>
      </c>
      <c r="F270" s="74">
        <f t="shared" si="138"/>
        <v>7</v>
      </c>
      <c r="G270" s="74">
        <f t="shared" si="138"/>
        <v>7</v>
      </c>
      <c r="H270" s="74">
        <f t="shared" si="138"/>
        <v>7</v>
      </c>
      <c r="I270" s="74">
        <f t="shared" si="138"/>
        <v>7</v>
      </c>
      <c r="J270" s="74">
        <f t="shared" si="138"/>
        <v>7</v>
      </c>
      <c r="K270" s="74">
        <f t="shared" si="138"/>
        <v>7</v>
      </c>
      <c r="L270" s="74">
        <f t="shared" si="138"/>
        <v>7</v>
      </c>
      <c r="M270" s="74">
        <f t="shared" si="138"/>
        <v>7</v>
      </c>
      <c r="N270" s="74">
        <f t="shared" si="138"/>
        <v>7</v>
      </c>
      <c r="O270" s="74">
        <f t="shared" si="138"/>
        <v>7</v>
      </c>
      <c r="P270" s="74">
        <f t="shared" si="138"/>
        <v>7</v>
      </c>
      <c r="Q270" s="74">
        <f>Q267/Q7</f>
        <v>91</v>
      </c>
      <c r="R270" s="75"/>
      <c r="S270" s="562" t="s">
        <v>46</v>
      </c>
      <c r="T270" s="563"/>
      <c r="U270" s="72"/>
      <c r="V270" s="131"/>
    </row>
    <row r="271" spans="2:22" ht="14" customHeight="1" thickBot="1" x14ac:dyDescent="0.2">
      <c r="B271" s="556" t="s">
        <v>48</v>
      </c>
      <c r="C271" s="557"/>
      <c r="D271" s="76">
        <f t="shared" ref="D271:P271" si="139">D267/D7/D8</f>
        <v>0.25</v>
      </c>
      <c r="E271" s="76">
        <f t="shared" si="139"/>
        <v>0.25</v>
      </c>
      <c r="F271" s="76">
        <f t="shared" si="139"/>
        <v>0.25</v>
      </c>
      <c r="G271" s="76">
        <f t="shared" si="139"/>
        <v>0.25</v>
      </c>
      <c r="H271" s="76">
        <f t="shared" si="139"/>
        <v>0.25</v>
      </c>
      <c r="I271" s="76">
        <f t="shared" si="139"/>
        <v>0.25</v>
      </c>
      <c r="J271" s="76">
        <f t="shared" si="139"/>
        <v>0.25</v>
      </c>
      <c r="K271" s="76">
        <f t="shared" si="139"/>
        <v>0.25</v>
      </c>
      <c r="L271" s="76">
        <f t="shared" si="139"/>
        <v>0.25</v>
      </c>
      <c r="M271" s="76">
        <f t="shared" si="139"/>
        <v>0.25</v>
      </c>
      <c r="N271" s="76">
        <f t="shared" si="139"/>
        <v>0.25</v>
      </c>
      <c r="O271" s="76">
        <f t="shared" si="139"/>
        <v>0.25</v>
      </c>
      <c r="P271" s="76">
        <f t="shared" si="139"/>
        <v>0.25</v>
      </c>
      <c r="Q271" s="76">
        <f>+Q267/Q7/Q8</f>
        <v>0.25</v>
      </c>
      <c r="R271" s="77"/>
      <c r="S271" s="564" t="s">
        <v>47</v>
      </c>
      <c r="T271" s="565"/>
      <c r="U271" s="72"/>
    </row>
    <row r="272" spans="2:22" ht="14" customHeight="1" thickTop="1" x14ac:dyDescent="0.15">
      <c r="D272" s="47" t="s">
        <v>1</v>
      </c>
      <c r="P272" s="48"/>
      <c r="Q272" s="48"/>
      <c r="R272" s="68"/>
      <c r="S272" s="68"/>
      <c r="T272" s="68"/>
      <c r="U272" s="48"/>
    </row>
    <row r="273" spans="4:20" ht="14" customHeight="1" x14ac:dyDescent="0.15">
      <c r="D273" s="47" t="s">
        <v>1</v>
      </c>
      <c r="R273" s="58"/>
      <c r="S273" s="58"/>
      <c r="T273" s="58"/>
    </row>
    <row r="274" spans="4:20" ht="14" customHeight="1" x14ac:dyDescent="0.15">
      <c r="D274" s="47" t="s">
        <v>1</v>
      </c>
      <c r="R274" s="58"/>
      <c r="S274" s="58"/>
      <c r="T274" s="58"/>
    </row>
    <row r="275" spans="4:20" ht="14" customHeight="1" x14ac:dyDescent="0.15">
      <c r="D275" s="47" t="s">
        <v>1</v>
      </c>
      <c r="R275" s="58"/>
      <c r="S275" s="58"/>
      <c r="T275" s="58"/>
    </row>
    <row r="276" spans="4:20" ht="14" customHeight="1" x14ac:dyDescent="0.15">
      <c r="D276" s="47" t="s">
        <v>1</v>
      </c>
      <c r="R276" s="58"/>
      <c r="S276" s="58"/>
      <c r="T276" s="58"/>
    </row>
    <row r="277" spans="4:20" ht="14" customHeight="1" x14ac:dyDescent="0.15">
      <c r="D277" s="47"/>
      <c r="R277" s="58"/>
      <c r="S277" s="58"/>
      <c r="T277" s="58"/>
    </row>
    <row r="278" spans="4:20" ht="14" customHeight="1" x14ac:dyDescent="0.15">
      <c r="D278" s="47" t="s">
        <v>1</v>
      </c>
      <c r="R278" s="58"/>
      <c r="S278" s="58"/>
      <c r="T278" s="58"/>
    </row>
    <row r="279" spans="4:20" ht="14" customHeight="1" x14ac:dyDescent="0.15">
      <c r="D279" s="47" t="s">
        <v>1</v>
      </c>
      <c r="R279" s="58"/>
      <c r="S279" s="58"/>
      <c r="T279" s="58"/>
    </row>
    <row r="280" spans="4:20" ht="14" customHeight="1" x14ac:dyDescent="0.15">
      <c r="D280" s="47" t="s">
        <v>1</v>
      </c>
      <c r="R280" s="58"/>
      <c r="S280" s="58"/>
      <c r="T280" s="58"/>
    </row>
    <row r="281" spans="4:20" ht="14" customHeight="1" x14ac:dyDescent="0.15">
      <c r="D281" s="47" t="s">
        <v>1</v>
      </c>
      <c r="R281" s="58"/>
      <c r="S281" s="58"/>
      <c r="T281" s="58"/>
    </row>
    <row r="282" spans="4:20" ht="14" customHeight="1" x14ac:dyDescent="0.15">
      <c r="D282" s="47" t="s">
        <v>1</v>
      </c>
      <c r="R282" s="58"/>
      <c r="S282" s="58"/>
      <c r="T282" s="58"/>
    </row>
    <row r="283" spans="4:20" ht="14" customHeight="1" x14ac:dyDescent="0.15"/>
    <row r="284" spans="4:20" ht="14" customHeight="1" x14ac:dyDescent="0.15"/>
    <row r="285" spans="4:20" ht="14" customHeight="1" x14ac:dyDescent="0.15"/>
    <row r="286" spans="4:20" ht="14" customHeight="1" x14ac:dyDescent="0.15"/>
    <row r="287" spans="4:20" ht="14" customHeight="1" x14ac:dyDescent="0.15"/>
    <row r="288" spans="4:20" ht="14" customHeight="1" x14ac:dyDescent="0.15"/>
    <row r="289" ht="14" customHeight="1" x14ac:dyDescent="0.15"/>
    <row r="290" ht="14" customHeight="1" x14ac:dyDescent="0.15"/>
    <row r="291" ht="14" customHeight="1" x14ac:dyDescent="0.15"/>
    <row r="292" ht="14" customHeight="1" x14ac:dyDescent="0.15"/>
    <row r="293" ht="14" customHeight="1" x14ac:dyDescent="0.15"/>
    <row r="294" ht="14" customHeight="1" x14ac:dyDescent="0.15"/>
    <row r="295" ht="14" customHeight="1" x14ac:dyDescent="0.15"/>
    <row r="296" ht="14" customHeight="1" x14ac:dyDescent="0.15"/>
    <row r="297" ht="14" customHeight="1" x14ac:dyDescent="0.15"/>
    <row r="298" ht="14" customHeight="1" x14ac:dyDescent="0.15"/>
    <row r="299" ht="14" customHeight="1" x14ac:dyDescent="0.15"/>
    <row r="300" ht="14" customHeight="1" x14ac:dyDescent="0.15"/>
    <row r="301" ht="14" customHeight="1" x14ac:dyDescent="0.15"/>
    <row r="302" ht="14" customHeight="1" x14ac:dyDescent="0.15"/>
    <row r="303" ht="14" customHeight="1" x14ac:dyDescent="0.15"/>
    <row r="304" ht="14" customHeight="1" x14ac:dyDescent="0.15"/>
    <row r="305" ht="14" customHeight="1" x14ac:dyDescent="0.15"/>
    <row r="306" ht="14" customHeight="1" x14ac:dyDescent="0.15"/>
    <row r="307" ht="14" customHeight="1" x14ac:dyDescent="0.15"/>
    <row r="308" ht="14" customHeight="1" x14ac:dyDescent="0.15"/>
    <row r="309" ht="14" customHeight="1" x14ac:dyDescent="0.15"/>
    <row r="310" ht="14" customHeight="1" x14ac:dyDescent="0.15"/>
    <row r="311" ht="14" customHeight="1" x14ac:dyDescent="0.15"/>
    <row r="312" ht="14" customHeight="1" x14ac:dyDescent="0.15"/>
    <row r="313" ht="14" customHeight="1" x14ac:dyDescent="0.15"/>
    <row r="314" ht="14" customHeight="1" x14ac:dyDescent="0.15"/>
    <row r="315" ht="14" customHeight="1" x14ac:dyDescent="0.15"/>
    <row r="316" ht="14" customHeight="1" x14ac:dyDescent="0.15"/>
    <row r="317" ht="14" customHeight="1" x14ac:dyDescent="0.15"/>
    <row r="318" ht="14" customHeight="1" x14ac:dyDescent="0.15"/>
    <row r="319" ht="14" customHeight="1" x14ac:dyDescent="0.15"/>
    <row r="320" ht="14" customHeight="1" x14ac:dyDescent="0.15"/>
    <row r="321" ht="14" customHeight="1" x14ac:dyDescent="0.15"/>
    <row r="322" ht="14" customHeight="1" x14ac:dyDescent="0.15"/>
    <row r="323" ht="14" customHeight="1" x14ac:dyDescent="0.15"/>
    <row r="324" ht="14" customHeight="1" x14ac:dyDescent="0.15"/>
    <row r="325" ht="14" customHeight="1" x14ac:dyDescent="0.15"/>
    <row r="326" ht="14" customHeight="1" x14ac:dyDescent="0.15"/>
    <row r="327" ht="14" customHeight="1" x14ac:dyDescent="0.15"/>
    <row r="328" ht="14" customHeight="1" x14ac:dyDescent="0.15"/>
    <row r="329" ht="14" customHeight="1" x14ac:dyDescent="0.15"/>
    <row r="330" ht="14" customHeight="1" x14ac:dyDescent="0.15"/>
    <row r="331" ht="14" customHeight="1" x14ac:dyDescent="0.15"/>
    <row r="332" ht="14" customHeight="1" x14ac:dyDescent="0.15"/>
    <row r="333" ht="14" customHeight="1" x14ac:dyDescent="0.15"/>
    <row r="334" ht="14" customHeight="1" x14ac:dyDescent="0.15"/>
    <row r="335" ht="14" customHeight="1" x14ac:dyDescent="0.15"/>
    <row r="336" ht="14" customHeight="1" x14ac:dyDescent="0.15"/>
    <row r="337" ht="14" customHeight="1" x14ac:dyDescent="0.15"/>
    <row r="338" ht="14" customHeight="1" x14ac:dyDescent="0.15"/>
    <row r="339" ht="14" customHeight="1" x14ac:dyDescent="0.15"/>
    <row r="340" ht="14" customHeight="1" x14ac:dyDescent="0.15"/>
    <row r="341" ht="14" customHeight="1" x14ac:dyDescent="0.15"/>
    <row r="342" ht="14" customHeight="1" x14ac:dyDescent="0.15"/>
  </sheetData>
  <sheetProtection algorithmName="SHA-512" hashValue="77rtCiSiywBcbzMEg9ovnHo653N2/THNVZTtqlaw6QqsnrjK7LPiX1J2v39v07kgw7z0h2Lm8o8Wfcc+aJ4CeA==" saltValue="DHGuJcw2IImYEH6SvjdOfg==" spinCount="100000" sheet="1" objects="1" scenarios="1"/>
  <mergeCells count="22">
    <mergeCell ref="B9:Q9"/>
    <mergeCell ref="B7:C7"/>
    <mergeCell ref="B8:C8"/>
    <mergeCell ref="B2:Q2"/>
    <mergeCell ref="B3:Q3"/>
    <mergeCell ref="B4:Q4"/>
    <mergeCell ref="B267:C267"/>
    <mergeCell ref="B73:Q73"/>
    <mergeCell ref="B137:Q137"/>
    <mergeCell ref="B201:Q201"/>
    <mergeCell ref="B265:Q265"/>
    <mergeCell ref="B271:C271"/>
    <mergeCell ref="B270:C270"/>
    <mergeCell ref="B268:C268"/>
    <mergeCell ref="S268:T268"/>
    <mergeCell ref="S270:T270"/>
    <mergeCell ref="S271:T271"/>
    <mergeCell ref="S7:T7"/>
    <mergeCell ref="S9:T9"/>
    <mergeCell ref="S73:T73"/>
    <mergeCell ref="S137:T137"/>
    <mergeCell ref="S201:T201"/>
  </mergeCells>
  <phoneticPr fontId="22" type="noConversion"/>
  <pageMargins left="0.75" right="0.75" top="1" bottom="1" header="0.4921259845" footer="0.492125984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2188C-9E8D-0E47-970E-1D63F74F0E2E}">
  <sheetPr>
    <tabColor theme="1"/>
  </sheetPr>
  <dimension ref="B1:Q24"/>
  <sheetViews>
    <sheetView zoomScale="150" zoomScaleNormal="150" zoomScalePageLayoutView="150" workbookViewId="0">
      <selection activeCell="B4" sqref="B4:Q4"/>
    </sheetView>
  </sheetViews>
  <sheetFormatPr baseColWidth="10" defaultRowHeight="13" x14ac:dyDescent="0.15"/>
  <cols>
    <col min="1" max="1" width="4.33203125" customWidth="1"/>
    <col min="2" max="2" width="19" bestFit="1" customWidth="1"/>
    <col min="3" max="3" width="11.33203125" bestFit="1" customWidth="1"/>
    <col min="4" max="4" width="10.83203125" customWidth="1"/>
    <col min="5" max="5" width="11.83203125" bestFit="1" customWidth="1"/>
    <col min="6" max="6" width="10.83203125" bestFit="1" customWidth="1"/>
    <col min="7" max="7" width="11.83203125" bestFit="1" customWidth="1"/>
    <col min="8" max="8" width="11" bestFit="1" customWidth="1"/>
    <col min="9" max="10" width="10.83203125" bestFit="1" customWidth="1"/>
    <col min="11" max="11" width="11" bestFit="1" customWidth="1"/>
    <col min="12" max="12" width="10.83203125" bestFit="1" customWidth="1"/>
    <col min="13" max="13" width="12" bestFit="1" customWidth="1"/>
    <col min="14" max="14" width="10" bestFit="1" customWidth="1"/>
    <col min="15" max="15" width="10.5" bestFit="1" customWidth="1"/>
    <col min="16" max="16" width="9.83203125" bestFit="1" customWidth="1"/>
    <col min="17" max="17" width="18.5" customWidth="1"/>
  </cols>
  <sheetData>
    <row r="1" spans="2:17" ht="14" thickBot="1" x14ac:dyDescent="0.2">
      <c r="B1" s="111"/>
      <c r="C1" s="111"/>
      <c r="D1" s="111"/>
      <c r="E1" s="111"/>
      <c r="F1" s="111"/>
      <c r="G1" s="111"/>
      <c r="H1" s="111"/>
      <c r="I1" s="111"/>
      <c r="J1" s="111"/>
      <c r="K1" s="111"/>
      <c r="L1" s="111"/>
      <c r="M1" s="111"/>
      <c r="N1" s="111"/>
      <c r="O1" s="111"/>
      <c r="P1" s="111"/>
      <c r="Q1" s="111"/>
    </row>
    <row r="2" spans="2:17" ht="19" thickTop="1" x14ac:dyDescent="0.2">
      <c r="B2" s="537" t="s">
        <v>195</v>
      </c>
      <c r="C2" s="538"/>
      <c r="D2" s="538"/>
      <c r="E2" s="538"/>
      <c r="F2" s="538"/>
      <c r="G2" s="538"/>
      <c r="H2" s="538"/>
      <c r="I2" s="538"/>
      <c r="J2" s="538"/>
      <c r="K2" s="538"/>
      <c r="L2" s="538"/>
      <c r="M2" s="538"/>
      <c r="N2" s="538"/>
      <c r="O2" s="538"/>
      <c r="P2" s="538"/>
      <c r="Q2" s="593"/>
    </row>
    <row r="3" spans="2:17" ht="16" x14ac:dyDescent="0.2">
      <c r="B3" s="540" t="s">
        <v>35</v>
      </c>
      <c r="C3" s="594"/>
      <c r="D3" s="594"/>
      <c r="E3" s="594"/>
      <c r="F3" s="594"/>
      <c r="G3" s="594"/>
      <c r="H3" s="594"/>
      <c r="I3" s="594"/>
      <c r="J3" s="594"/>
      <c r="K3" s="594"/>
      <c r="L3" s="594"/>
      <c r="M3" s="594"/>
      <c r="N3" s="594"/>
      <c r="O3" s="594"/>
      <c r="P3" s="594"/>
      <c r="Q3" s="595"/>
    </row>
    <row r="4" spans="2:17" ht="14" thickBot="1" x14ac:dyDescent="0.2">
      <c r="B4" s="543" t="s">
        <v>196</v>
      </c>
      <c r="C4" s="596"/>
      <c r="D4" s="596"/>
      <c r="E4" s="596"/>
      <c r="F4" s="596"/>
      <c r="G4" s="596"/>
      <c r="H4" s="596"/>
      <c r="I4" s="596"/>
      <c r="J4" s="596"/>
      <c r="K4" s="596"/>
      <c r="L4" s="596"/>
      <c r="M4" s="596"/>
      <c r="N4" s="596"/>
      <c r="O4" s="596"/>
      <c r="P4" s="596"/>
      <c r="Q4" s="597"/>
    </row>
    <row r="5" spans="2:17" ht="14" thickTop="1" x14ac:dyDescent="0.15">
      <c r="B5" s="1"/>
      <c r="C5" s="2"/>
      <c r="D5" s="3" t="str">
        <f>'Achalandage journalier'!D5</f>
        <v>Pér.01</v>
      </c>
      <c r="E5" s="3" t="str">
        <f>'Achalandage journalier'!E5</f>
        <v>Pér.02</v>
      </c>
      <c r="F5" s="3" t="str">
        <f>'Achalandage journalier'!F5</f>
        <v>Pér.03</v>
      </c>
      <c r="G5" s="3" t="str">
        <f>'Achalandage journalier'!G5</f>
        <v>Pér.04</v>
      </c>
      <c r="H5" s="3" t="str">
        <f>'Achalandage journalier'!H5</f>
        <v>Pér.05</v>
      </c>
      <c r="I5" s="3" t="str">
        <f>'Achalandage journalier'!I5</f>
        <v>Pér.06</v>
      </c>
      <c r="J5" s="3" t="str">
        <f>'Achalandage journalier'!J5</f>
        <v>Pér.07</v>
      </c>
      <c r="K5" s="3" t="str">
        <f>'Achalandage journalier'!K5</f>
        <v>Pér.08</v>
      </c>
      <c r="L5" s="3" t="str">
        <f>'Achalandage journalier'!L5</f>
        <v>Pér.09</v>
      </c>
      <c r="M5" s="3" t="str">
        <f>'Achalandage journalier'!M5</f>
        <v>Pér.10</v>
      </c>
      <c r="N5" s="3" t="str">
        <f>'Achalandage journalier'!N5</f>
        <v>Pér.11</v>
      </c>
      <c r="O5" s="3" t="str">
        <f>'Achalandage journalier'!O5</f>
        <v>Pér.12</v>
      </c>
      <c r="P5" s="3" t="str">
        <f>'Achalandage journalier'!P5</f>
        <v>Pér.13</v>
      </c>
      <c r="Q5" s="61" t="s">
        <v>37</v>
      </c>
    </row>
    <row r="6" spans="2:17" ht="14" thickBot="1" x14ac:dyDescent="0.2">
      <c r="B6" s="4" t="s">
        <v>1</v>
      </c>
      <c r="C6" s="5"/>
      <c r="D6" s="479">
        <f>'Achalandage journalier'!D6</f>
        <v>44928</v>
      </c>
      <c r="E6" s="479">
        <f>'Achalandage journalier'!E6</f>
        <v>44956</v>
      </c>
      <c r="F6" s="479">
        <f>'Achalandage journalier'!F6</f>
        <v>44984</v>
      </c>
      <c r="G6" s="479">
        <f>'Achalandage journalier'!G6</f>
        <v>45012</v>
      </c>
      <c r="H6" s="479">
        <f>'Achalandage journalier'!H6</f>
        <v>45040</v>
      </c>
      <c r="I6" s="479">
        <f>'Achalandage journalier'!I6</f>
        <v>45068</v>
      </c>
      <c r="J6" s="479">
        <f>'Achalandage journalier'!J6</f>
        <v>45096</v>
      </c>
      <c r="K6" s="479">
        <f>'Achalandage journalier'!K6</f>
        <v>45124</v>
      </c>
      <c r="L6" s="479">
        <f>'Achalandage journalier'!L6</f>
        <v>45152</v>
      </c>
      <c r="M6" s="479">
        <f>'Achalandage journalier'!M6</f>
        <v>45180</v>
      </c>
      <c r="N6" s="479">
        <f>'Achalandage journalier'!N6</f>
        <v>45208</v>
      </c>
      <c r="O6" s="479">
        <f>'Achalandage journalier'!O6</f>
        <v>45236</v>
      </c>
      <c r="P6" s="480">
        <f>'Achalandage journalier'!P6</f>
        <v>45264</v>
      </c>
      <c r="Q6" s="481" t="s">
        <v>9</v>
      </c>
    </row>
    <row r="7" spans="2:17" ht="15" thickTop="1" thickBot="1" x14ac:dyDescent="0.2">
      <c r="B7" s="598" t="s">
        <v>26</v>
      </c>
      <c r="C7" s="599"/>
      <c r="D7" s="102">
        <f>'Achalandage journalier'!D7</f>
        <v>28</v>
      </c>
      <c r="E7" s="79">
        <f t="shared" ref="E7:P7" si="0">+D7</f>
        <v>28</v>
      </c>
      <c r="F7" s="80">
        <f t="shared" si="0"/>
        <v>28</v>
      </c>
      <c r="G7" s="80">
        <f t="shared" si="0"/>
        <v>28</v>
      </c>
      <c r="H7" s="80">
        <f t="shared" si="0"/>
        <v>28</v>
      </c>
      <c r="I7" s="80">
        <f t="shared" si="0"/>
        <v>28</v>
      </c>
      <c r="J7" s="80">
        <f t="shared" si="0"/>
        <v>28</v>
      </c>
      <c r="K7" s="80">
        <f t="shared" si="0"/>
        <v>28</v>
      </c>
      <c r="L7" s="80">
        <f t="shared" si="0"/>
        <v>28</v>
      </c>
      <c r="M7" s="80">
        <f t="shared" si="0"/>
        <v>28</v>
      </c>
      <c r="N7" s="80">
        <f t="shared" si="0"/>
        <v>28</v>
      </c>
      <c r="O7" s="81">
        <f t="shared" si="0"/>
        <v>28</v>
      </c>
      <c r="P7" s="81">
        <f t="shared" si="0"/>
        <v>28</v>
      </c>
      <c r="Q7" s="104">
        <f t="shared" ref="Q7" si="1">+O7</f>
        <v>28</v>
      </c>
    </row>
    <row r="8" spans="2:17" ht="15" thickTop="1" thickBot="1" x14ac:dyDescent="0.2">
      <c r="B8" s="600" t="s">
        <v>43</v>
      </c>
      <c r="C8" s="601"/>
      <c r="D8" s="82">
        <v>28</v>
      </c>
      <c r="E8" s="82">
        <f t="shared" ref="E8:P8" si="2">D8</f>
        <v>28</v>
      </c>
      <c r="F8" s="82">
        <f t="shared" si="2"/>
        <v>28</v>
      </c>
      <c r="G8" s="82">
        <f t="shared" si="2"/>
        <v>28</v>
      </c>
      <c r="H8" s="82">
        <f t="shared" si="2"/>
        <v>28</v>
      </c>
      <c r="I8" s="82">
        <f t="shared" si="2"/>
        <v>28</v>
      </c>
      <c r="J8" s="82">
        <f t="shared" si="2"/>
        <v>28</v>
      </c>
      <c r="K8" s="82">
        <f t="shared" si="2"/>
        <v>28</v>
      </c>
      <c r="L8" s="82">
        <f t="shared" si="2"/>
        <v>28</v>
      </c>
      <c r="M8" s="82">
        <f t="shared" si="2"/>
        <v>28</v>
      </c>
      <c r="N8" s="82">
        <f t="shared" si="2"/>
        <v>28</v>
      </c>
      <c r="O8" s="82">
        <f t="shared" si="2"/>
        <v>28</v>
      </c>
      <c r="P8" s="82">
        <f t="shared" si="2"/>
        <v>28</v>
      </c>
      <c r="Q8" s="103">
        <f t="shared" ref="Q8:Q17" si="3">+D8+E8+F8+G8+H8+I8+J8+K8+L8+M8+N8+O8+P8</f>
        <v>364</v>
      </c>
    </row>
    <row r="9" spans="2:17" ht="15" thickTop="1" thickBot="1" x14ac:dyDescent="0.2">
      <c r="B9" s="602" t="s">
        <v>38</v>
      </c>
      <c r="C9" s="603"/>
      <c r="D9" s="83">
        <f t="shared" ref="D9:P9" si="4">+D8</f>
        <v>28</v>
      </c>
      <c r="E9" s="83">
        <f t="shared" si="4"/>
        <v>28</v>
      </c>
      <c r="F9" s="83">
        <f t="shared" si="4"/>
        <v>28</v>
      </c>
      <c r="G9" s="83">
        <f t="shared" si="4"/>
        <v>28</v>
      </c>
      <c r="H9" s="83">
        <f t="shared" si="4"/>
        <v>28</v>
      </c>
      <c r="I9" s="83">
        <f t="shared" si="4"/>
        <v>28</v>
      </c>
      <c r="J9" s="83">
        <f t="shared" si="4"/>
        <v>28</v>
      </c>
      <c r="K9" s="83">
        <f t="shared" si="4"/>
        <v>28</v>
      </c>
      <c r="L9" s="83">
        <f t="shared" si="4"/>
        <v>28</v>
      </c>
      <c r="M9" s="83">
        <f t="shared" si="4"/>
        <v>28</v>
      </c>
      <c r="N9" s="83">
        <f t="shared" si="4"/>
        <v>28</v>
      </c>
      <c r="O9" s="83">
        <f t="shared" si="4"/>
        <v>28</v>
      </c>
      <c r="P9" s="83">
        <f t="shared" si="4"/>
        <v>28</v>
      </c>
      <c r="Q9" s="99">
        <f t="shared" si="3"/>
        <v>364</v>
      </c>
    </row>
    <row r="10" spans="2:17" ht="15" thickTop="1" thickBot="1" x14ac:dyDescent="0.2">
      <c r="B10" s="84" t="s">
        <v>39</v>
      </c>
      <c r="C10" s="85" t="s">
        <v>1</v>
      </c>
      <c r="D10" s="86">
        <f t="shared" ref="D10:P10" si="5">+D19/$Q$19</f>
        <v>7.6923076923076927E-2</v>
      </c>
      <c r="E10" s="86">
        <f t="shared" si="5"/>
        <v>7.6923076923076927E-2</v>
      </c>
      <c r="F10" s="86">
        <f t="shared" si="5"/>
        <v>7.6923076923076927E-2</v>
      </c>
      <c r="G10" s="86">
        <f t="shared" si="5"/>
        <v>7.6923076923076927E-2</v>
      </c>
      <c r="H10" s="86">
        <f t="shared" si="5"/>
        <v>7.6923076923076927E-2</v>
      </c>
      <c r="I10" s="86">
        <f t="shared" si="5"/>
        <v>7.6923076923076927E-2</v>
      </c>
      <c r="J10" s="86">
        <f t="shared" si="5"/>
        <v>7.6923076923076927E-2</v>
      </c>
      <c r="K10" s="86">
        <f t="shared" si="5"/>
        <v>7.6923076923076927E-2</v>
      </c>
      <c r="L10" s="86">
        <f t="shared" si="5"/>
        <v>7.6923076923076927E-2</v>
      </c>
      <c r="M10" s="86">
        <f t="shared" si="5"/>
        <v>7.6923076923076927E-2</v>
      </c>
      <c r="N10" s="86">
        <f t="shared" si="5"/>
        <v>7.6923076923076927E-2</v>
      </c>
      <c r="O10" s="86">
        <f t="shared" si="5"/>
        <v>7.6923076923076927E-2</v>
      </c>
      <c r="P10" s="86">
        <f t="shared" si="5"/>
        <v>7.6923076923076927E-2</v>
      </c>
      <c r="Q10" s="87">
        <f t="shared" si="3"/>
        <v>0.99999999999999978</v>
      </c>
    </row>
    <row r="11" spans="2:17" ht="13" customHeight="1" thickTop="1" x14ac:dyDescent="0.15">
      <c r="B11" s="13">
        <v>1</v>
      </c>
      <c r="C11" s="14" t="str">
        <f>'Achalandage journalier'!C11</f>
        <v>6 h à 9 h 30</v>
      </c>
      <c r="D11" s="100">
        <f>+'Achalandage journalier'!D11+'Achalandage journalier'!D20+'Achalandage journalier'!D29+'Achalandage journalier'!D38+'Achalandage journalier'!D47+'Achalandage journalier'!D56+'Achalandage journalier'!D65+'Achalandage journalier'!D75+'Achalandage journalier'!D84+'Achalandage journalier'!D93+'Achalandage journalier'!D102+'Achalandage journalier'!D111+'Achalandage journalier'!D120+'Achalandage journalier'!D129+'Achalandage journalier'!D139+'Achalandage journalier'!D148+'Achalandage journalier'!D157+'Achalandage journalier'!D166+'Achalandage journalier'!D175+'Achalandage journalier'!D184+'Achalandage journalier'!D193+'Achalandage journalier'!D203+'Achalandage journalier'!D212+'Achalandage journalier'!D221+'Achalandage journalier'!D230+'Achalandage journalier'!D239+'Achalandage journalier'!D248+'Achalandage journalier'!D257</f>
        <v>28</v>
      </c>
      <c r="E11" s="88">
        <f>+'Achalandage journalier'!E11+'Achalandage journalier'!E20+'Achalandage journalier'!E29+'Achalandage journalier'!E38+'Achalandage journalier'!E47+'Achalandage journalier'!E56+'Achalandage journalier'!E65+'Achalandage journalier'!E75+'Achalandage journalier'!E84+'Achalandage journalier'!E93+'Achalandage journalier'!E102+'Achalandage journalier'!E111+'Achalandage journalier'!E120+'Achalandage journalier'!E129+'Achalandage journalier'!E139+'Achalandage journalier'!E148+'Achalandage journalier'!E157+'Achalandage journalier'!E166+'Achalandage journalier'!E175+'Achalandage journalier'!E184+'Achalandage journalier'!E193+'Achalandage journalier'!E203+'Achalandage journalier'!E212+'Achalandage journalier'!E221+'Achalandage journalier'!E230+'Achalandage journalier'!E239+'Achalandage journalier'!E248+'Achalandage journalier'!E257</f>
        <v>28</v>
      </c>
      <c r="F11" s="88">
        <f>+'Achalandage journalier'!F11+'Achalandage journalier'!F20+'Achalandage journalier'!F29+'Achalandage journalier'!F38+'Achalandage journalier'!F47+'Achalandage journalier'!F56+'Achalandage journalier'!F65+'Achalandage journalier'!F75+'Achalandage journalier'!F84+'Achalandage journalier'!F93+'Achalandage journalier'!F102+'Achalandage journalier'!F111+'Achalandage journalier'!F120+'Achalandage journalier'!F129+'Achalandage journalier'!F139+'Achalandage journalier'!F148+'Achalandage journalier'!F157+'Achalandage journalier'!F166+'Achalandage journalier'!F175+'Achalandage journalier'!F184+'Achalandage journalier'!F193+'Achalandage journalier'!F203+'Achalandage journalier'!F212+'Achalandage journalier'!F221+'Achalandage journalier'!F230+'Achalandage journalier'!F239+'Achalandage journalier'!F248+'Achalandage journalier'!F257</f>
        <v>28</v>
      </c>
      <c r="G11" s="88">
        <f>+'Achalandage journalier'!G11+'Achalandage journalier'!G20+'Achalandage journalier'!G29+'Achalandage journalier'!G38+'Achalandage journalier'!G47+'Achalandage journalier'!G56+'Achalandage journalier'!G65+'Achalandage journalier'!G75+'Achalandage journalier'!G84+'Achalandage journalier'!G93+'Achalandage journalier'!G102+'Achalandage journalier'!G111+'Achalandage journalier'!G120+'Achalandage journalier'!G129+'Achalandage journalier'!G139+'Achalandage journalier'!G148+'Achalandage journalier'!G157+'Achalandage journalier'!G166+'Achalandage journalier'!G175+'Achalandage journalier'!G184+'Achalandage journalier'!G193+'Achalandage journalier'!G203+'Achalandage journalier'!G212+'Achalandage journalier'!G221+'Achalandage journalier'!G230+'Achalandage journalier'!G239+'Achalandage journalier'!G248+'Achalandage journalier'!G257</f>
        <v>28</v>
      </c>
      <c r="H11" s="88">
        <f>+'Achalandage journalier'!H11+'Achalandage journalier'!H20+'Achalandage journalier'!H29+'Achalandage journalier'!H38+'Achalandage journalier'!H47+'Achalandage journalier'!H56+'Achalandage journalier'!H65+'Achalandage journalier'!H75+'Achalandage journalier'!H84+'Achalandage journalier'!H93+'Achalandage journalier'!H102+'Achalandage journalier'!H111+'Achalandage journalier'!H120+'Achalandage journalier'!H129+'Achalandage journalier'!H139+'Achalandage journalier'!H148+'Achalandage journalier'!H157+'Achalandage journalier'!H166+'Achalandage journalier'!H175+'Achalandage journalier'!H184+'Achalandage journalier'!H193+'Achalandage journalier'!H203+'Achalandage journalier'!H212+'Achalandage journalier'!H221+'Achalandage journalier'!H230+'Achalandage journalier'!H239+'Achalandage journalier'!H248+'Achalandage journalier'!H257</f>
        <v>28</v>
      </c>
      <c r="I11" s="88">
        <f>+'Achalandage journalier'!I11+'Achalandage journalier'!I20+'Achalandage journalier'!I29+'Achalandage journalier'!I38+'Achalandage journalier'!I47+'Achalandage journalier'!I56+'Achalandage journalier'!I65+'Achalandage journalier'!I75+'Achalandage journalier'!I84+'Achalandage journalier'!I93+'Achalandage journalier'!I102+'Achalandage journalier'!I111+'Achalandage journalier'!I120+'Achalandage journalier'!I129+'Achalandage journalier'!I139+'Achalandage journalier'!I148+'Achalandage journalier'!I157+'Achalandage journalier'!I166+'Achalandage journalier'!I175+'Achalandage journalier'!I184+'Achalandage journalier'!I193+'Achalandage journalier'!I203+'Achalandage journalier'!I212+'Achalandage journalier'!I221+'Achalandage journalier'!I230+'Achalandage journalier'!I239+'Achalandage journalier'!I248+'Achalandage journalier'!I257</f>
        <v>28</v>
      </c>
      <c r="J11" s="88">
        <f>+'Achalandage journalier'!J11+'Achalandage journalier'!J20+'Achalandage journalier'!J29+'Achalandage journalier'!J38+'Achalandage journalier'!J47+'Achalandage journalier'!J56+'Achalandage journalier'!J65+'Achalandage journalier'!J75+'Achalandage journalier'!J84+'Achalandage journalier'!J93+'Achalandage journalier'!J102+'Achalandage journalier'!J111+'Achalandage journalier'!J120+'Achalandage journalier'!J129+'Achalandage journalier'!J139+'Achalandage journalier'!J148+'Achalandage journalier'!J157+'Achalandage journalier'!J166+'Achalandage journalier'!J175+'Achalandage journalier'!J184+'Achalandage journalier'!J193+'Achalandage journalier'!J203+'Achalandage journalier'!J212+'Achalandage journalier'!J221+'Achalandage journalier'!J230+'Achalandage journalier'!J239+'Achalandage journalier'!J248+'Achalandage journalier'!J257</f>
        <v>28</v>
      </c>
      <c r="K11" s="88">
        <f>+'Achalandage journalier'!K11+'Achalandage journalier'!K20+'Achalandage journalier'!K29+'Achalandage journalier'!K38+'Achalandage journalier'!K47+'Achalandage journalier'!K56+'Achalandage journalier'!K65+'Achalandage journalier'!K75+'Achalandage journalier'!K84+'Achalandage journalier'!K93+'Achalandage journalier'!K102+'Achalandage journalier'!K111+'Achalandage journalier'!K120+'Achalandage journalier'!K129+'Achalandage journalier'!K139+'Achalandage journalier'!K148+'Achalandage journalier'!K157+'Achalandage journalier'!K166+'Achalandage journalier'!K175+'Achalandage journalier'!K184+'Achalandage journalier'!K193+'Achalandage journalier'!K203+'Achalandage journalier'!K212+'Achalandage journalier'!K221+'Achalandage journalier'!K230+'Achalandage journalier'!K239+'Achalandage journalier'!K248+'Achalandage journalier'!K257</f>
        <v>28</v>
      </c>
      <c r="L11" s="88">
        <f>+'Achalandage journalier'!L11+'Achalandage journalier'!L20+'Achalandage journalier'!L29+'Achalandage journalier'!L38+'Achalandage journalier'!L47+'Achalandage journalier'!L56+'Achalandage journalier'!L65+'Achalandage journalier'!L75+'Achalandage journalier'!L84+'Achalandage journalier'!L93+'Achalandage journalier'!L102+'Achalandage journalier'!L111+'Achalandage journalier'!L120+'Achalandage journalier'!L129+'Achalandage journalier'!L139+'Achalandage journalier'!L148+'Achalandage journalier'!L157+'Achalandage journalier'!L166+'Achalandage journalier'!L175+'Achalandage journalier'!L184+'Achalandage journalier'!L193+'Achalandage journalier'!L203+'Achalandage journalier'!L212+'Achalandage journalier'!L221+'Achalandage journalier'!L230+'Achalandage journalier'!L239+'Achalandage journalier'!L248+'Achalandage journalier'!L257</f>
        <v>28</v>
      </c>
      <c r="M11" s="88">
        <f>+'Achalandage journalier'!M11+'Achalandage journalier'!M20+'Achalandage journalier'!M29+'Achalandage journalier'!M38+'Achalandage journalier'!M47+'Achalandage journalier'!M56+'Achalandage journalier'!M65+'Achalandage journalier'!M75+'Achalandage journalier'!M84+'Achalandage journalier'!M93+'Achalandage journalier'!M102+'Achalandage journalier'!M111+'Achalandage journalier'!M120+'Achalandage journalier'!M129+'Achalandage journalier'!M139+'Achalandage journalier'!M148+'Achalandage journalier'!M157+'Achalandage journalier'!M166+'Achalandage journalier'!M175+'Achalandage journalier'!M184+'Achalandage journalier'!M193+'Achalandage journalier'!M203+'Achalandage journalier'!M212+'Achalandage journalier'!M221+'Achalandage journalier'!M230+'Achalandage journalier'!M239+'Achalandage journalier'!M248+'Achalandage journalier'!M257</f>
        <v>28</v>
      </c>
      <c r="N11" s="88">
        <f>+'Achalandage journalier'!N11+'Achalandage journalier'!N20+'Achalandage journalier'!N29+'Achalandage journalier'!N38+'Achalandage journalier'!N47+'Achalandage journalier'!N56+'Achalandage journalier'!N65+'Achalandage journalier'!N75+'Achalandage journalier'!N84+'Achalandage journalier'!N93+'Achalandage journalier'!N102+'Achalandage journalier'!N111+'Achalandage journalier'!N120+'Achalandage journalier'!N129+'Achalandage journalier'!N139+'Achalandage journalier'!N148+'Achalandage journalier'!N157+'Achalandage journalier'!N166+'Achalandage journalier'!N175+'Achalandage journalier'!N184+'Achalandage journalier'!N193+'Achalandage journalier'!N203+'Achalandage journalier'!N212+'Achalandage journalier'!N221+'Achalandage journalier'!N230+'Achalandage journalier'!N239+'Achalandage journalier'!N248+'Achalandage journalier'!N257</f>
        <v>28</v>
      </c>
      <c r="O11" s="88">
        <f>+'Achalandage journalier'!O11+'Achalandage journalier'!O20+'Achalandage journalier'!O29+'Achalandage journalier'!O38+'Achalandage journalier'!O47+'Achalandage journalier'!O56+'Achalandage journalier'!O65+'Achalandage journalier'!O75+'Achalandage journalier'!O84+'Achalandage journalier'!O93+'Achalandage journalier'!O102+'Achalandage journalier'!O111+'Achalandage journalier'!O120+'Achalandage journalier'!O129+'Achalandage journalier'!O139+'Achalandage journalier'!O148+'Achalandage journalier'!O157+'Achalandage journalier'!O166+'Achalandage journalier'!O175+'Achalandage journalier'!O184+'Achalandage journalier'!O193+'Achalandage journalier'!O203+'Achalandage journalier'!O212+'Achalandage journalier'!O221+'Achalandage journalier'!O230+'Achalandage journalier'!O239+'Achalandage journalier'!O248+'Achalandage journalier'!O257</f>
        <v>28</v>
      </c>
      <c r="P11" s="88">
        <f>+'Achalandage journalier'!P11+'Achalandage journalier'!P20+'Achalandage journalier'!P29+'Achalandage journalier'!P38+'Achalandage journalier'!P47+'Achalandage journalier'!P56+'Achalandage journalier'!P65+'Achalandage journalier'!P75+'Achalandage journalier'!P84+'Achalandage journalier'!P93+'Achalandage journalier'!P102+'Achalandage journalier'!P111+'Achalandage journalier'!P120+'Achalandage journalier'!P129+'Achalandage journalier'!P139+'Achalandage journalier'!P148+'Achalandage journalier'!P157+'Achalandage journalier'!P166+'Achalandage journalier'!P175+'Achalandage journalier'!P184+'Achalandage journalier'!P193+'Achalandage journalier'!P203+'Achalandage journalier'!P212+'Achalandage journalier'!P221+'Achalandage journalier'!P230+'Achalandage journalier'!P239+'Achalandage journalier'!P248+'Achalandage journalier'!P257</f>
        <v>28</v>
      </c>
      <c r="Q11" s="89">
        <f t="shared" si="3"/>
        <v>364</v>
      </c>
    </row>
    <row r="12" spans="2:17" x14ac:dyDescent="0.15">
      <c r="B12" s="16">
        <v>2</v>
      </c>
      <c r="C12" s="17" t="str">
        <f>'Achalandage journalier'!C12</f>
        <v>9 h 30 à 11 h 30</v>
      </c>
      <c r="D12" s="90">
        <f>+'Achalandage journalier'!D12+'Achalandage journalier'!D21+'Achalandage journalier'!D30+'Achalandage journalier'!D39+'Achalandage journalier'!D48+'Achalandage journalier'!D57+'Achalandage journalier'!D66+'Achalandage journalier'!D76+'Achalandage journalier'!D85+'Achalandage journalier'!D94+'Achalandage journalier'!D103+'Achalandage journalier'!D112+'Achalandage journalier'!D121+'Achalandage journalier'!D130+'Achalandage journalier'!D140+'Achalandage journalier'!D149+'Achalandage journalier'!D158+'Achalandage journalier'!D167+'Achalandage journalier'!D176+'Achalandage journalier'!D185+'Achalandage journalier'!D194+'Achalandage journalier'!D204+'Achalandage journalier'!D213+'Achalandage journalier'!D222+'Achalandage journalier'!D231+'Achalandage journalier'!D240+'Achalandage journalier'!D249+'Achalandage journalier'!D258</f>
        <v>28</v>
      </c>
      <c r="E12" s="90">
        <f>+'Achalandage journalier'!E12+'Achalandage journalier'!E21+'Achalandage journalier'!E30+'Achalandage journalier'!E39+'Achalandage journalier'!E48+'Achalandage journalier'!E57+'Achalandage journalier'!E66+'Achalandage journalier'!E76+'Achalandage journalier'!E85+'Achalandage journalier'!E94+'Achalandage journalier'!E103+'Achalandage journalier'!E112+'Achalandage journalier'!E121+'Achalandage journalier'!E130+'Achalandage journalier'!E140+'Achalandage journalier'!E149+'Achalandage journalier'!E158+'Achalandage journalier'!E167+'Achalandage journalier'!E176+'Achalandage journalier'!E185+'Achalandage journalier'!E194+'Achalandage journalier'!E204+'Achalandage journalier'!E213+'Achalandage journalier'!E222+'Achalandage journalier'!E231+'Achalandage journalier'!E240+'Achalandage journalier'!E249+'Achalandage journalier'!E258</f>
        <v>28</v>
      </c>
      <c r="F12" s="90">
        <f>+'Achalandage journalier'!F12+'Achalandage journalier'!F21+'Achalandage journalier'!F30+'Achalandage journalier'!F39+'Achalandage journalier'!F48+'Achalandage journalier'!F57+'Achalandage journalier'!F66+'Achalandage journalier'!F76+'Achalandage journalier'!F85+'Achalandage journalier'!F94+'Achalandage journalier'!F103+'Achalandage journalier'!F112+'Achalandage journalier'!F121+'Achalandage journalier'!F130+'Achalandage journalier'!F140+'Achalandage journalier'!F149+'Achalandage journalier'!F158+'Achalandage journalier'!F167+'Achalandage journalier'!F176+'Achalandage journalier'!F185+'Achalandage journalier'!F194+'Achalandage journalier'!F204+'Achalandage journalier'!F213+'Achalandage journalier'!F222+'Achalandage journalier'!F231+'Achalandage journalier'!F240+'Achalandage journalier'!F249+'Achalandage journalier'!F258</f>
        <v>28</v>
      </c>
      <c r="G12" s="90">
        <f>+'Achalandage journalier'!G12+'Achalandage journalier'!G21+'Achalandage journalier'!G30+'Achalandage journalier'!G39+'Achalandage journalier'!G48+'Achalandage journalier'!G57+'Achalandage journalier'!G66+'Achalandage journalier'!G76+'Achalandage journalier'!G85+'Achalandage journalier'!G94+'Achalandage journalier'!G103+'Achalandage journalier'!G112+'Achalandage journalier'!G121+'Achalandage journalier'!G130+'Achalandage journalier'!G140+'Achalandage journalier'!G149+'Achalandage journalier'!G158+'Achalandage journalier'!G167+'Achalandage journalier'!G176+'Achalandage journalier'!G185+'Achalandage journalier'!G194+'Achalandage journalier'!G204+'Achalandage journalier'!G213+'Achalandage journalier'!G222+'Achalandage journalier'!G231+'Achalandage journalier'!G240+'Achalandage journalier'!G249+'Achalandage journalier'!G258</f>
        <v>28</v>
      </c>
      <c r="H12" s="90">
        <f>+'Achalandage journalier'!H12+'Achalandage journalier'!H21+'Achalandage journalier'!H30+'Achalandage journalier'!H39+'Achalandage journalier'!H48+'Achalandage journalier'!H57+'Achalandage journalier'!H66+'Achalandage journalier'!H76+'Achalandage journalier'!H85+'Achalandage journalier'!H94+'Achalandage journalier'!H103+'Achalandage journalier'!H112+'Achalandage journalier'!H121+'Achalandage journalier'!H130+'Achalandage journalier'!H140+'Achalandage journalier'!H149+'Achalandage journalier'!H158+'Achalandage journalier'!H167+'Achalandage journalier'!H176+'Achalandage journalier'!H185+'Achalandage journalier'!H194+'Achalandage journalier'!H204+'Achalandage journalier'!H213+'Achalandage journalier'!H222+'Achalandage journalier'!H231+'Achalandage journalier'!H240+'Achalandage journalier'!H249+'Achalandage journalier'!H258</f>
        <v>28</v>
      </c>
      <c r="I12" s="90">
        <f>+'Achalandage journalier'!I12+'Achalandage journalier'!I21+'Achalandage journalier'!I30+'Achalandage journalier'!I39+'Achalandage journalier'!I48+'Achalandage journalier'!I57+'Achalandage journalier'!I66+'Achalandage journalier'!I76+'Achalandage journalier'!I85+'Achalandage journalier'!I94+'Achalandage journalier'!I103+'Achalandage journalier'!I112+'Achalandage journalier'!I121+'Achalandage journalier'!I130+'Achalandage journalier'!I140+'Achalandage journalier'!I149+'Achalandage journalier'!I158+'Achalandage journalier'!I167+'Achalandage journalier'!I176+'Achalandage journalier'!I185+'Achalandage journalier'!I194+'Achalandage journalier'!I204+'Achalandage journalier'!I213+'Achalandage journalier'!I222+'Achalandage journalier'!I231+'Achalandage journalier'!I240+'Achalandage journalier'!I249+'Achalandage journalier'!I258</f>
        <v>28</v>
      </c>
      <c r="J12" s="90">
        <f>+'Achalandage journalier'!J12+'Achalandage journalier'!J21+'Achalandage journalier'!J30+'Achalandage journalier'!J39+'Achalandage journalier'!J48+'Achalandage journalier'!J57+'Achalandage journalier'!J66+'Achalandage journalier'!J76+'Achalandage journalier'!J85+'Achalandage journalier'!J94+'Achalandage journalier'!J103+'Achalandage journalier'!J112+'Achalandage journalier'!J121+'Achalandage journalier'!J130+'Achalandage journalier'!J140+'Achalandage journalier'!J149+'Achalandage journalier'!J158+'Achalandage journalier'!J167+'Achalandage journalier'!J176+'Achalandage journalier'!J185+'Achalandage journalier'!J194+'Achalandage journalier'!J204+'Achalandage journalier'!J213+'Achalandage journalier'!J222+'Achalandage journalier'!J231+'Achalandage journalier'!J240+'Achalandage journalier'!J249+'Achalandage journalier'!J258</f>
        <v>28</v>
      </c>
      <c r="K12" s="90">
        <f>+'Achalandage journalier'!K12+'Achalandage journalier'!K21+'Achalandage journalier'!K30+'Achalandage journalier'!K39+'Achalandage journalier'!K48+'Achalandage journalier'!K57+'Achalandage journalier'!K66+'Achalandage journalier'!K76+'Achalandage journalier'!K85+'Achalandage journalier'!K94+'Achalandage journalier'!K103+'Achalandage journalier'!K112+'Achalandage journalier'!K121+'Achalandage journalier'!K130+'Achalandage journalier'!K140+'Achalandage journalier'!K149+'Achalandage journalier'!K158+'Achalandage journalier'!K167+'Achalandage journalier'!K176+'Achalandage journalier'!K185+'Achalandage journalier'!K194+'Achalandage journalier'!K204+'Achalandage journalier'!K213+'Achalandage journalier'!K222+'Achalandage journalier'!K231+'Achalandage journalier'!K240+'Achalandage journalier'!K249+'Achalandage journalier'!K258</f>
        <v>28</v>
      </c>
      <c r="L12" s="90">
        <f>+'Achalandage journalier'!L12+'Achalandage journalier'!L21+'Achalandage journalier'!L30+'Achalandage journalier'!L39+'Achalandage journalier'!L48+'Achalandage journalier'!L57+'Achalandage journalier'!L66+'Achalandage journalier'!L76+'Achalandage journalier'!L85+'Achalandage journalier'!L94+'Achalandage journalier'!L103+'Achalandage journalier'!L112+'Achalandage journalier'!L121+'Achalandage journalier'!L130+'Achalandage journalier'!L140+'Achalandage journalier'!L149+'Achalandage journalier'!L158+'Achalandage journalier'!L167+'Achalandage journalier'!L176+'Achalandage journalier'!L185+'Achalandage journalier'!L194+'Achalandage journalier'!L204+'Achalandage journalier'!L213+'Achalandage journalier'!L222+'Achalandage journalier'!L231+'Achalandage journalier'!L240+'Achalandage journalier'!L249+'Achalandage journalier'!L258</f>
        <v>28</v>
      </c>
      <c r="M12" s="90">
        <f>+'Achalandage journalier'!M12+'Achalandage journalier'!M21+'Achalandage journalier'!M30+'Achalandage journalier'!M39+'Achalandage journalier'!M48+'Achalandage journalier'!M57+'Achalandage journalier'!M66+'Achalandage journalier'!M76+'Achalandage journalier'!M85+'Achalandage journalier'!M94+'Achalandage journalier'!M103+'Achalandage journalier'!M112+'Achalandage journalier'!M121+'Achalandage journalier'!M130+'Achalandage journalier'!M140+'Achalandage journalier'!M149+'Achalandage journalier'!M158+'Achalandage journalier'!M167+'Achalandage journalier'!M176+'Achalandage journalier'!M185+'Achalandage journalier'!M194+'Achalandage journalier'!M204+'Achalandage journalier'!M213+'Achalandage journalier'!M222+'Achalandage journalier'!M231+'Achalandage journalier'!M240+'Achalandage journalier'!M249+'Achalandage journalier'!M258</f>
        <v>28</v>
      </c>
      <c r="N12" s="90">
        <f>+'Achalandage journalier'!N12+'Achalandage journalier'!N21+'Achalandage journalier'!N30+'Achalandage journalier'!N39+'Achalandage journalier'!N48+'Achalandage journalier'!N57+'Achalandage journalier'!N66+'Achalandage journalier'!N76+'Achalandage journalier'!N85+'Achalandage journalier'!N94+'Achalandage journalier'!N103+'Achalandage journalier'!N112+'Achalandage journalier'!N121+'Achalandage journalier'!N130+'Achalandage journalier'!N140+'Achalandage journalier'!N149+'Achalandage journalier'!N158+'Achalandage journalier'!N167+'Achalandage journalier'!N176+'Achalandage journalier'!N185+'Achalandage journalier'!N194+'Achalandage journalier'!N204+'Achalandage journalier'!N213+'Achalandage journalier'!N222+'Achalandage journalier'!N231+'Achalandage journalier'!N240+'Achalandage journalier'!N249+'Achalandage journalier'!N258</f>
        <v>28</v>
      </c>
      <c r="O12" s="90">
        <f>+'Achalandage journalier'!O12+'Achalandage journalier'!O21+'Achalandage journalier'!O30+'Achalandage journalier'!O39+'Achalandage journalier'!O48+'Achalandage journalier'!O57+'Achalandage journalier'!O66+'Achalandage journalier'!O76+'Achalandage journalier'!O85+'Achalandage journalier'!O94+'Achalandage journalier'!O103+'Achalandage journalier'!O112+'Achalandage journalier'!O121+'Achalandage journalier'!O130+'Achalandage journalier'!O140+'Achalandage journalier'!O149+'Achalandage journalier'!O158+'Achalandage journalier'!O167+'Achalandage journalier'!O176+'Achalandage journalier'!O185+'Achalandage journalier'!O194+'Achalandage journalier'!O204+'Achalandage journalier'!O213+'Achalandage journalier'!O222+'Achalandage journalier'!O231+'Achalandage journalier'!O240+'Achalandage journalier'!O249+'Achalandage journalier'!O258</f>
        <v>28</v>
      </c>
      <c r="P12" s="90">
        <f>+'Achalandage journalier'!P12+'Achalandage journalier'!P21+'Achalandage journalier'!P30+'Achalandage journalier'!P39+'Achalandage journalier'!P48+'Achalandage journalier'!P57+'Achalandage journalier'!P66+'Achalandage journalier'!P76+'Achalandage journalier'!P85+'Achalandage journalier'!P94+'Achalandage journalier'!P103+'Achalandage journalier'!P112+'Achalandage journalier'!P121+'Achalandage journalier'!P130+'Achalandage journalier'!P140+'Achalandage journalier'!P149+'Achalandage journalier'!P158+'Achalandage journalier'!P167+'Achalandage journalier'!P176+'Achalandage journalier'!P185+'Achalandage journalier'!P194+'Achalandage journalier'!P204+'Achalandage journalier'!P213+'Achalandage journalier'!P222+'Achalandage journalier'!P231+'Achalandage journalier'!P240+'Achalandage journalier'!P249+'Achalandage journalier'!P258</f>
        <v>28</v>
      </c>
      <c r="Q12" s="91">
        <f t="shared" si="3"/>
        <v>364</v>
      </c>
    </row>
    <row r="13" spans="2:17" ht="13" customHeight="1" x14ac:dyDescent="0.15">
      <c r="B13" s="16">
        <v>3</v>
      </c>
      <c r="C13" s="17" t="str">
        <f>'Achalandage journalier'!C13</f>
        <v>11 h 30 à 14 h 30</v>
      </c>
      <c r="D13" s="90">
        <f>+'Achalandage journalier'!D13+'Achalandage journalier'!D22+'Achalandage journalier'!D31+'Achalandage journalier'!D40+'Achalandage journalier'!D49+'Achalandage journalier'!D58+'Achalandage journalier'!D67+'Achalandage journalier'!D77+'Achalandage journalier'!D86+'Achalandage journalier'!D95+'Achalandage journalier'!D104+'Achalandage journalier'!D113+'Achalandage journalier'!D122+'Achalandage journalier'!D131+'Achalandage journalier'!D141+'Achalandage journalier'!D150+'Achalandage journalier'!D159+'Achalandage journalier'!D168+'Achalandage journalier'!D177+'Achalandage journalier'!D186+'Achalandage journalier'!D195+'Achalandage journalier'!D205+'Achalandage journalier'!D214+'Achalandage journalier'!D223+'Achalandage journalier'!D232+'Achalandage journalier'!D241+'Achalandage journalier'!D250+'Achalandage journalier'!D259</f>
        <v>28</v>
      </c>
      <c r="E13" s="90">
        <f>+'Achalandage journalier'!E13+'Achalandage journalier'!E22+'Achalandage journalier'!E31+'Achalandage journalier'!E40+'Achalandage journalier'!E49+'Achalandage journalier'!E58+'Achalandage journalier'!E67+'Achalandage journalier'!E77+'Achalandage journalier'!E86+'Achalandage journalier'!E95+'Achalandage journalier'!E104+'Achalandage journalier'!E113+'Achalandage journalier'!E122+'Achalandage journalier'!E131+'Achalandage journalier'!E141+'Achalandage journalier'!E150+'Achalandage journalier'!E159+'Achalandage journalier'!E168+'Achalandage journalier'!E177+'Achalandage journalier'!E186+'Achalandage journalier'!E195+'Achalandage journalier'!E205+'Achalandage journalier'!E214+'Achalandage journalier'!E223+'Achalandage journalier'!E232+'Achalandage journalier'!E241+'Achalandage journalier'!E250+'Achalandage journalier'!E259</f>
        <v>28</v>
      </c>
      <c r="F13" s="90">
        <f>+'Achalandage journalier'!F13+'Achalandage journalier'!F22+'Achalandage journalier'!F31+'Achalandage journalier'!F40+'Achalandage journalier'!F49+'Achalandage journalier'!F58+'Achalandage journalier'!F67+'Achalandage journalier'!F77+'Achalandage journalier'!F86+'Achalandage journalier'!F95+'Achalandage journalier'!F104+'Achalandage journalier'!F113+'Achalandage journalier'!F122+'Achalandage journalier'!F131+'Achalandage journalier'!F141+'Achalandage journalier'!F150+'Achalandage journalier'!F159+'Achalandage journalier'!F168+'Achalandage journalier'!F177+'Achalandage journalier'!F186+'Achalandage journalier'!F195+'Achalandage journalier'!F205+'Achalandage journalier'!F214+'Achalandage journalier'!F223+'Achalandage journalier'!F232+'Achalandage journalier'!F241+'Achalandage journalier'!F250+'Achalandage journalier'!F259</f>
        <v>28</v>
      </c>
      <c r="G13" s="90">
        <f>+'Achalandage journalier'!G13+'Achalandage journalier'!G22+'Achalandage journalier'!G31+'Achalandage journalier'!G40+'Achalandage journalier'!G49+'Achalandage journalier'!G58+'Achalandage journalier'!G67+'Achalandage journalier'!G77+'Achalandage journalier'!G86+'Achalandage journalier'!G95+'Achalandage journalier'!G104+'Achalandage journalier'!G113+'Achalandage journalier'!G122+'Achalandage journalier'!G131+'Achalandage journalier'!G141+'Achalandage journalier'!G150+'Achalandage journalier'!G159+'Achalandage journalier'!G168+'Achalandage journalier'!G177+'Achalandage journalier'!G186+'Achalandage journalier'!G195+'Achalandage journalier'!G205+'Achalandage journalier'!G214+'Achalandage journalier'!G223+'Achalandage journalier'!G232+'Achalandage journalier'!G241+'Achalandage journalier'!G250+'Achalandage journalier'!G259</f>
        <v>28</v>
      </c>
      <c r="H13" s="90">
        <f>+'Achalandage journalier'!H13+'Achalandage journalier'!H22+'Achalandage journalier'!H31+'Achalandage journalier'!H40+'Achalandage journalier'!H49+'Achalandage journalier'!H58+'Achalandage journalier'!H67+'Achalandage journalier'!H77+'Achalandage journalier'!H86+'Achalandage journalier'!H95+'Achalandage journalier'!H104+'Achalandage journalier'!H113+'Achalandage journalier'!H122+'Achalandage journalier'!H131+'Achalandage journalier'!H141+'Achalandage journalier'!H150+'Achalandage journalier'!H159+'Achalandage journalier'!H168+'Achalandage journalier'!H177+'Achalandage journalier'!H186+'Achalandage journalier'!H195+'Achalandage journalier'!H205+'Achalandage journalier'!H214+'Achalandage journalier'!H223+'Achalandage journalier'!H232+'Achalandage journalier'!H241+'Achalandage journalier'!H250+'Achalandage journalier'!H259</f>
        <v>28</v>
      </c>
      <c r="I13" s="90">
        <f>+'Achalandage journalier'!I13+'Achalandage journalier'!I22+'Achalandage journalier'!I31+'Achalandage journalier'!I40+'Achalandage journalier'!I49+'Achalandage journalier'!I58+'Achalandage journalier'!I67+'Achalandage journalier'!I77+'Achalandage journalier'!I86+'Achalandage journalier'!I95+'Achalandage journalier'!I104+'Achalandage journalier'!I113+'Achalandage journalier'!I122+'Achalandage journalier'!I131+'Achalandage journalier'!I141+'Achalandage journalier'!I150+'Achalandage journalier'!I159+'Achalandage journalier'!I168+'Achalandage journalier'!I177+'Achalandage journalier'!I186+'Achalandage journalier'!I195+'Achalandage journalier'!I205+'Achalandage journalier'!I214+'Achalandage journalier'!I223+'Achalandage journalier'!I232+'Achalandage journalier'!I241+'Achalandage journalier'!I250+'Achalandage journalier'!I259</f>
        <v>28</v>
      </c>
      <c r="J13" s="90">
        <f>+'Achalandage journalier'!J13+'Achalandage journalier'!J22+'Achalandage journalier'!J31+'Achalandage journalier'!J40+'Achalandage journalier'!J49+'Achalandage journalier'!J58+'Achalandage journalier'!J67+'Achalandage journalier'!J77+'Achalandage journalier'!J86+'Achalandage journalier'!J95+'Achalandage journalier'!J104+'Achalandage journalier'!J113+'Achalandage journalier'!J122+'Achalandage journalier'!J131+'Achalandage journalier'!J141+'Achalandage journalier'!J150+'Achalandage journalier'!J159+'Achalandage journalier'!J168+'Achalandage journalier'!J177+'Achalandage journalier'!J186+'Achalandage journalier'!J195+'Achalandage journalier'!J205+'Achalandage journalier'!J214+'Achalandage journalier'!J223+'Achalandage journalier'!J232+'Achalandage journalier'!J241+'Achalandage journalier'!J250+'Achalandage journalier'!J259</f>
        <v>28</v>
      </c>
      <c r="K13" s="90">
        <f>+'Achalandage journalier'!K13+'Achalandage journalier'!K22+'Achalandage journalier'!K31+'Achalandage journalier'!K40+'Achalandage journalier'!K49+'Achalandage journalier'!K58+'Achalandage journalier'!K67+'Achalandage journalier'!K77+'Achalandage journalier'!K86+'Achalandage journalier'!K95+'Achalandage journalier'!K104+'Achalandage journalier'!K113+'Achalandage journalier'!K122+'Achalandage journalier'!K131+'Achalandage journalier'!K141+'Achalandage journalier'!K150+'Achalandage journalier'!K159+'Achalandage journalier'!K168+'Achalandage journalier'!K177+'Achalandage journalier'!K186+'Achalandage journalier'!K195+'Achalandage journalier'!K205+'Achalandage journalier'!K214+'Achalandage journalier'!K223+'Achalandage journalier'!K232+'Achalandage journalier'!K241+'Achalandage journalier'!K250+'Achalandage journalier'!K259</f>
        <v>28</v>
      </c>
      <c r="L13" s="90">
        <f>+'Achalandage journalier'!L13+'Achalandage journalier'!L22+'Achalandage journalier'!L31+'Achalandage journalier'!L40+'Achalandage journalier'!L49+'Achalandage journalier'!L58+'Achalandage journalier'!L67+'Achalandage journalier'!L77+'Achalandage journalier'!L86+'Achalandage journalier'!L95+'Achalandage journalier'!L104+'Achalandage journalier'!L113+'Achalandage journalier'!L122+'Achalandage journalier'!L131+'Achalandage journalier'!L141+'Achalandage journalier'!L150+'Achalandage journalier'!L159+'Achalandage journalier'!L168+'Achalandage journalier'!L177+'Achalandage journalier'!L186+'Achalandage journalier'!L195+'Achalandage journalier'!L205+'Achalandage journalier'!L214+'Achalandage journalier'!L223+'Achalandage journalier'!L232+'Achalandage journalier'!L241+'Achalandage journalier'!L250+'Achalandage journalier'!L259</f>
        <v>28</v>
      </c>
      <c r="M13" s="90">
        <f>+'Achalandage journalier'!M13+'Achalandage journalier'!M22+'Achalandage journalier'!M31+'Achalandage journalier'!M40+'Achalandage journalier'!M49+'Achalandage journalier'!M58+'Achalandage journalier'!M67+'Achalandage journalier'!M77+'Achalandage journalier'!M86+'Achalandage journalier'!M95+'Achalandage journalier'!M104+'Achalandage journalier'!M113+'Achalandage journalier'!M122+'Achalandage journalier'!M131+'Achalandage journalier'!M141+'Achalandage journalier'!M150+'Achalandage journalier'!M159+'Achalandage journalier'!M168+'Achalandage journalier'!M177+'Achalandage journalier'!M186+'Achalandage journalier'!M195+'Achalandage journalier'!M205+'Achalandage journalier'!M214+'Achalandage journalier'!M223+'Achalandage journalier'!M232+'Achalandage journalier'!M241+'Achalandage journalier'!M250+'Achalandage journalier'!M259</f>
        <v>28</v>
      </c>
      <c r="N13" s="90">
        <f>+'Achalandage journalier'!N13+'Achalandage journalier'!N22+'Achalandage journalier'!N31+'Achalandage journalier'!N40+'Achalandage journalier'!N49+'Achalandage journalier'!N58+'Achalandage journalier'!N67+'Achalandage journalier'!N77+'Achalandage journalier'!N86+'Achalandage journalier'!N95+'Achalandage journalier'!N104+'Achalandage journalier'!N113+'Achalandage journalier'!N122+'Achalandage journalier'!N131+'Achalandage journalier'!N141+'Achalandage journalier'!N150+'Achalandage journalier'!N159+'Achalandage journalier'!N168+'Achalandage journalier'!N177+'Achalandage journalier'!N186+'Achalandage journalier'!N195+'Achalandage journalier'!N205+'Achalandage journalier'!N214+'Achalandage journalier'!N223+'Achalandage journalier'!N232+'Achalandage journalier'!N241+'Achalandage journalier'!N250+'Achalandage journalier'!N259</f>
        <v>28</v>
      </c>
      <c r="O13" s="90">
        <f>+'Achalandage journalier'!O13+'Achalandage journalier'!O22+'Achalandage journalier'!O31+'Achalandage journalier'!O40+'Achalandage journalier'!O49+'Achalandage journalier'!O58+'Achalandage journalier'!O67+'Achalandage journalier'!O77+'Achalandage journalier'!O86+'Achalandage journalier'!O95+'Achalandage journalier'!O104+'Achalandage journalier'!O113+'Achalandage journalier'!O122+'Achalandage journalier'!O131+'Achalandage journalier'!O141+'Achalandage journalier'!O150+'Achalandage journalier'!O159+'Achalandage journalier'!O168+'Achalandage journalier'!O177+'Achalandage journalier'!O186+'Achalandage journalier'!O195+'Achalandage journalier'!O205+'Achalandage journalier'!O214+'Achalandage journalier'!O223+'Achalandage journalier'!O232+'Achalandage journalier'!O241+'Achalandage journalier'!O250+'Achalandage journalier'!O259</f>
        <v>28</v>
      </c>
      <c r="P13" s="90">
        <f>+'Achalandage journalier'!P13+'Achalandage journalier'!P22+'Achalandage journalier'!P31+'Achalandage journalier'!P40+'Achalandage journalier'!P49+'Achalandage journalier'!P58+'Achalandage journalier'!P67+'Achalandage journalier'!P77+'Achalandage journalier'!P86+'Achalandage journalier'!P95+'Achalandage journalier'!P104+'Achalandage journalier'!P113+'Achalandage journalier'!P122+'Achalandage journalier'!P131+'Achalandage journalier'!P141+'Achalandage journalier'!P150+'Achalandage journalier'!P159+'Achalandage journalier'!P168+'Achalandage journalier'!P177+'Achalandage journalier'!P186+'Achalandage journalier'!P195+'Achalandage journalier'!P205+'Achalandage journalier'!P214+'Achalandage journalier'!P223+'Achalandage journalier'!P232+'Achalandage journalier'!P241+'Achalandage journalier'!P250+'Achalandage journalier'!P259</f>
        <v>28</v>
      </c>
      <c r="Q13" s="91">
        <f t="shared" si="3"/>
        <v>364</v>
      </c>
    </row>
    <row r="14" spans="2:17" x14ac:dyDescent="0.15">
      <c r="B14" s="16">
        <v>4</v>
      </c>
      <c r="C14" s="17" t="str">
        <f>'Achalandage journalier'!C14</f>
        <v>14 h 30 à 17 h</v>
      </c>
      <c r="D14" s="101">
        <f>+'Achalandage journalier'!D14+'Achalandage journalier'!D23+'Achalandage journalier'!D32+'Achalandage journalier'!D41+'Achalandage journalier'!D50+'Achalandage journalier'!D59+'Achalandage journalier'!D68+'Achalandage journalier'!D78+'Achalandage journalier'!D87+'Achalandage journalier'!D96+'Achalandage journalier'!D105+'Achalandage journalier'!D114+'Achalandage journalier'!D123+'Achalandage journalier'!D132+'Achalandage journalier'!D142+'Achalandage journalier'!D151+'Achalandage journalier'!D160+'Achalandage journalier'!D169+'Achalandage journalier'!D178+'Achalandage journalier'!D187+'Achalandage journalier'!D196+'Achalandage journalier'!D206+'Achalandage journalier'!D215+'Achalandage journalier'!D224+'Achalandage journalier'!D233+'Achalandage journalier'!D242+'Achalandage journalier'!D251+'Achalandage journalier'!D260</f>
        <v>28</v>
      </c>
      <c r="E14" s="101">
        <f>+'Achalandage journalier'!E14+'Achalandage journalier'!E23+'Achalandage journalier'!E32+'Achalandage journalier'!E41+'Achalandage journalier'!E50+'Achalandage journalier'!E59+'Achalandage journalier'!E68+'Achalandage journalier'!E78+'Achalandage journalier'!E87+'Achalandage journalier'!E96+'Achalandage journalier'!E105+'Achalandage journalier'!E114+'Achalandage journalier'!E123+'Achalandage journalier'!E132+'Achalandage journalier'!E142+'Achalandage journalier'!E151+'Achalandage journalier'!E160+'Achalandage journalier'!E169+'Achalandage journalier'!E178+'Achalandage journalier'!E187+'Achalandage journalier'!E196+'Achalandage journalier'!E206+'Achalandage journalier'!E215+'Achalandage journalier'!E224+'Achalandage journalier'!E233+'Achalandage journalier'!E242+'Achalandage journalier'!E251+'Achalandage journalier'!E260</f>
        <v>28</v>
      </c>
      <c r="F14" s="101">
        <f>+'Achalandage journalier'!F14+'Achalandage journalier'!F23+'Achalandage journalier'!F32+'Achalandage journalier'!F41+'Achalandage journalier'!F50+'Achalandage journalier'!F59+'Achalandage journalier'!F68+'Achalandage journalier'!F78+'Achalandage journalier'!F87+'Achalandage journalier'!F96+'Achalandage journalier'!F105+'Achalandage journalier'!F114+'Achalandage journalier'!F123+'Achalandage journalier'!F132+'Achalandage journalier'!F142+'Achalandage journalier'!F151+'Achalandage journalier'!F160+'Achalandage journalier'!F169+'Achalandage journalier'!F178+'Achalandage journalier'!F187+'Achalandage journalier'!F196+'Achalandage journalier'!F206+'Achalandage journalier'!F215+'Achalandage journalier'!F224+'Achalandage journalier'!F233+'Achalandage journalier'!F242+'Achalandage journalier'!F251+'Achalandage journalier'!F260</f>
        <v>28</v>
      </c>
      <c r="G14" s="101">
        <f>+'Achalandage journalier'!G14+'Achalandage journalier'!G23+'Achalandage journalier'!G32+'Achalandage journalier'!G41+'Achalandage journalier'!G50+'Achalandage journalier'!G59+'Achalandage journalier'!G68+'Achalandage journalier'!G78+'Achalandage journalier'!G87+'Achalandage journalier'!G96+'Achalandage journalier'!G105+'Achalandage journalier'!G114+'Achalandage journalier'!G123+'Achalandage journalier'!G132+'Achalandage journalier'!G142+'Achalandage journalier'!G151+'Achalandage journalier'!G160+'Achalandage journalier'!G169+'Achalandage journalier'!G178+'Achalandage journalier'!G187+'Achalandage journalier'!G196+'Achalandage journalier'!G206+'Achalandage journalier'!G215+'Achalandage journalier'!G224+'Achalandage journalier'!G233+'Achalandage journalier'!G242+'Achalandage journalier'!G251+'Achalandage journalier'!G260</f>
        <v>28</v>
      </c>
      <c r="H14" s="101">
        <f>+'Achalandage journalier'!H14+'Achalandage journalier'!H23+'Achalandage journalier'!H32+'Achalandage journalier'!H41+'Achalandage journalier'!H50+'Achalandage journalier'!H59+'Achalandage journalier'!H68+'Achalandage journalier'!H78+'Achalandage journalier'!H87+'Achalandage journalier'!H96+'Achalandage journalier'!H105+'Achalandage journalier'!H114+'Achalandage journalier'!H123+'Achalandage journalier'!H132+'Achalandage journalier'!H142+'Achalandage journalier'!H151+'Achalandage journalier'!H160+'Achalandage journalier'!H169+'Achalandage journalier'!H178+'Achalandage journalier'!H187+'Achalandage journalier'!H196+'Achalandage journalier'!H206+'Achalandage journalier'!H215+'Achalandage journalier'!H224+'Achalandage journalier'!H233+'Achalandage journalier'!H242+'Achalandage journalier'!H251+'Achalandage journalier'!H260</f>
        <v>28</v>
      </c>
      <c r="I14" s="101">
        <f>+'Achalandage journalier'!I14+'Achalandage journalier'!I23+'Achalandage journalier'!I32+'Achalandage journalier'!I41+'Achalandage journalier'!I50+'Achalandage journalier'!I59+'Achalandage journalier'!I68+'Achalandage journalier'!I78+'Achalandage journalier'!I87+'Achalandage journalier'!I96+'Achalandage journalier'!I105+'Achalandage journalier'!I114+'Achalandage journalier'!I123+'Achalandage journalier'!I132+'Achalandage journalier'!I142+'Achalandage journalier'!I151+'Achalandage journalier'!I160+'Achalandage journalier'!I169+'Achalandage journalier'!I178+'Achalandage journalier'!I187+'Achalandage journalier'!I196+'Achalandage journalier'!I206+'Achalandage journalier'!I215+'Achalandage journalier'!I224+'Achalandage journalier'!I233+'Achalandage journalier'!I242+'Achalandage journalier'!I251+'Achalandage journalier'!I260</f>
        <v>28</v>
      </c>
      <c r="J14" s="101">
        <f>+'Achalandage journalier'!J14+'Achalandage journalier'!J23+'Achalandage journalier'!J32+'Achalandage journalier'!J41+'Achalandage journalier'!J50+'Achalandage journalier'!J59+'Achalandage journalier'!J68+'Achalandage journalier'!J78+'Achalandage journalier'!J87+'Achalandage journalier'!J96+'Achalandage journalier'!J105+'Achalandage journalier'!J114+'Achalandage journalier'!J123+'Achalandage journalier'!J132+'Achalandage journalier'!J142+'Achalandage journalier'!J151+'Achalandage journalier'!J160+'Achalandage journalier'!J169+'Achalandage journalier'!J178+'Achalandage journalier'!J187+'Achalandage journalier'!J196+'Achalandage journalier'!J206+'Achalandage journalier'!J215+'Achalandage journalier'!J224+'Achalandage journalier'!J233+'Achalandage journalier'!J242+'Achalandage journalier'!J251+'Achalandage journalier'!J260</f>
        <v>28</v>
      </c>
      <c r="K14" s="101">
        <f>+'Achalandage journalier'!K14+'Achalandage journalier'!K23+'Achalandage journalier'!K32+'Achalandage journalier'!K41+'Achalandage journalier'!K50+'Achalandage journalier'!K59+'Achalandage journalier'!K68+'Achalandage journalier'!K78+'Achalandage journalier'!K87+'Achalandage journalier'!K96+'Achalandage journalier'!K105+'Achalandage journalier'!K114+'Achalandage journalier'!K123+'Achalandage journalier'!K132+'Achalandage journalier'!K142+'Achalandage journalier'!K151+'Achalandage journalier'!K160+'Achalandage journalier'!K169+'Achalandage journalier'!K178+'Achalandage journalier'!K187+'Achalandage journalier'!K196+'Achalandage journalier'!K206+'Achalandage journalier'!K215+'Achalandage journalier'!K224+'Achalandage journalier'!K233+'Achalandage journalier'!K242+'Achalandage journalier'!K251+'Achalandage journalier'!K260</f>
        <v>28</v>
      </c>
      <c r="L14" s="101">
        <f>+'Achalandage journalier'!L14+'Achalandage journalier'!L23+'Achalandage journalier'!L32+'Achalandage journalier'!L41+'Achalandage journalier'!L50+'Achalandage journalier'!L59+'Achalandage journalier'!L68+'Achalandage journalier'!L78+'Achalandage journalier'!L87+'Achalandage journalier'!L96+'Achalandage journalier'!L105+'Achalandage journalier'!L114+'Achalandage journalier'!L123+'Achalandage journalier'!L132+'Achalandage journalier'!L142+'Achalandage journalier'!L151+'Achalandage journalier'!L160+'Achalandage journalier'!L169+'Achalandage journalier'!L178+'Achalandage journalier'!L187+'Achalandage journalier'!L196+'Achalandage journalier'!L206+'Achalandage journalier'!L215+'Achalandage journalier'!L224+'Achalandage journalier'!L233+'Achalandage journalier'!L242+'Achalandage journalier'!L251+'Achalandage journalier'!L260</f>
        <v>28</v>
      </c>
      <c r="M14" s="101">
        <f>+'Achalandage journalier'!M14+'Achalandage journalier'!M23+'Achalandage journalier'!M32+'Achalandage journalier'!M41+'Achalandage journalier'!M50+'Achalandage journalier'!M59+'Achalandage journalier'!M68+'Achalandage journalier'!M78+'Achalandage journalier'!M87+'Achalandage journalier'!M96+'Achalandage journalier'!M105+'Achalandage journalier'!M114+'Achalandage journalier'!M123+'Achalandage journalier'!M132+'Achalandage journalier'!M142+'Achalandage journalier'!M151+'Achalandage journalier'!M160+'Achalandage journalier'!M169+'Achalandage journalier'!M178+'Achalandage journalier'!M187+'Achalandage journalier'!M196+'Achalandage journalier'!M206+'Achalandage journalier'!M215+'Achalandage journalier'!M224+'Achalandage journalier'!M233+'Achalandage journalier'!M242+'Achalandage journalier'!M251+'Achalandage journalier'!M260</f>
        <v>28</v>
      </c>
      <c r="N14" s="101">
        <f>+'Achalandage journalier'!N14+'Achalandage journalier'!N23+'Achalandage journalier'!N32+'Achalandage journalier'!N41+'Achalandage journalier'!N50+'Achalandage journalier'!N59+'Achalandage journalier'!N68+'Achalandage journalier'!N78+'Achalandage journalier'!N87+'Achalandage journalier'!N96+'Achalandage journalier'!N105+'Achalandage journalier'!N114+'Achalandage journalier'!N123+'Achalandage journalier'!N132+'Achalandage journalier'!N142+'Achalandage journalier'!N151+'Achalandage journalier'!N160+'Achalandage journalier'!N169+'Achalandage journalier'!N178+'Achalandage journalier'!N187+'Achalandage journalier'!N196+'Achalandage journalier'!N206+'Achalandage journalier'!N215+'Achalandage journalier'!N224+'Achalandage journalier'!N233+'Achalandage journalier'!N242+'Achalandage journalier'!N251+'Achalandage journalier'!N260</f>
        <v>28</v>
      </c>
      <c r="O14" s="101">
        <f>+'Achalandage journalier'!O14+'Achalandage journalier'!O23+'Achalandage journalier'!O32+'Achalandage journalier'!O41+'Achalandage journalier'!O50+'Achalandage journalier'!O59+'Achalandage journalier'!O68+'Achalandage journalier'!O78+'Achalandage journalier'!O87+'Achalandage journalier'!O96+'Achalandage journalier'!O105+'Achalandage journalier'!O114+'Achalandage journalier'!O123+'Achalandage journalier'!O132+'Achalandage journalier'!O142+'Achalandage journalier'!O151+'Achalandage journalier'!O160+'Achalandage journalier'!O169+'Achalandage journalier'!O178+'Achalandage journalier'!O187+'Achalandage journalier'!O196+'Achalandage journalier'!O206+'Achalandage journalier'!O215+'Achalandage journalier'!O224+'Achalandage journalier'!O233+'Achalandage journalier'!O242+'Achalandage journalier'!O251+'Achalandage journalier'!O260</f>
        <v>28</v>
      </c>
      <c r="P14" s="101">
        <f>+'Achalandage journalier'!P14+'Achalandage journalier'!P23+'Achalandage journalier'!P32+'Achalandage journalier'!P41+'Achalandage journalier'!P50+'Achalandage journalier'!P59+'Achalandage journalier'!P68+'Achalandage journalier'!P78+'Achalandage journalier'!P87+'Achalandage journalier'!P96+'Achalandage journalier'!P105+'Achalandage journalier'!P114+'Achalandage journalier'!P123+'Achalandage journalier'!P132+'Achalandage journalier'!P142+'Achalandage journalier'!P151+'Achalandage journalier'!P160+'Achalandage journalier'!P169+'Achalandage journalier'!P178+'Achalandage journalier'!P187+'Achalandage journalier'!P196+'Achalandage journalier'!P206+'Achalandage journalier'!P215+'Achalandage journalier'!P224+'Achalandage journalier'!P233+'Achalandage journalier'!P242+'Achalandage journalier'!P251+'Achalandage journalier'!P260</f>
        <v>28</v>
      </c>
      <c r="Q14" s="91">
        <f t="shared" si="3"/>
        <v>364</v>
      </c>
    </row>
    <row r="15" spans="2:17" x14ac:dyDescent="0.15">
      <c r="B15" s="16">
        <v>5</v>
      </c>
      <c r="C15" s="17" t="str">
        <f>'Achalandage journalier'!C15</f>
        <v>17 h à 19 h</v>
      </c>
      <c r="D15" s="90">
        <f>+'Achalandage journalier'!D15+'Achalandage journalier'!D24+'Achalandage journalier'!D33+'Achalandage journalier'!D42+'Achalandage journalier'!D51+'Achalandage journalier'!D60+'Achalandage journalier'!D69+'Achalandage journalier'!D79+'Achalandage journalier'!D88+'Achalandage journalier'!D97+'Achalandage journalier'!D106+'Achalandage journalier'!D115+'Achalandage journalier'!D124+'Achalandage journalier'!D133+'Achalandage journalier'!D143+'Achalandage journalier'!D152+'Achalandage journalier'!D161+'Achalandage journalier'!D170+'Achalandage journalier'!D179+'Achalandage journalier'!D188+'Achalandage journalier'!D197+'Achalandage journalier'!D207+'Achalandage journalier'!D216+'Achalandage journalier'!D225+'Achalandage journalier'!D234+'Achalandage journalier'!D243+'Achalandage journalier'!D252+'Achalandage journalier'!D261</f>
        <v>28</v>
      </c>
      <c r="E15" s="90">
        <f>+'Achalandage journalier'!E15+'Achalandage journalier'!E24+'Achalandage journalier'!E33+'Achalandage journalier'!E42+'Achalandage journalier'!E51+'Achalandage journalier'!E60+'Achalandage journalier'!E69+'Achalandage journalier'!E79+'Achalandage journalier'!E88+'Achalandage journalier'!E97+'Achalandage journalier'!E106+'Achalandage journalier'!E115+'Achalandage journalier'!E124+'Achalandage journalier'!E133+'Achalandage journalier'!E143+'Achalandage journalier'!E152+'Achalandage journalier'!E161+'Achalandage journalier'!E170+'Achalandage journalier'!E179+'Achalandage journalier'!E188+'Achalandage journalier'!E197+'Achalandage journalier'!E207+'Achalandage journalier'!E216+'Achalandage journalier'!E225+'Achalandage journalier'!E234+'Achalandage journalier'!E243+'Achalandage journalier'!E252+'Achalandage journalier'!E261</f>
        <v>28</v>
      </c>
      <c r="F15" s="90">
        <f>+'Achalandage journalier'!F15+'Achalandage journalier'!F24+'Achalandage journalier'!F33+'Achalandage journalier'!F42+'Achalandage journalier'!F51+'Achalandage journalier'!F60+'Achalandage journalier'!F69+'Achalandage journalier'!F79+'Achalandage journalier'!F88+'Achalandage journalier'!F97+'Achalandage journalier'!F106+'Achalandage journalier'!F115+'Achalandage journalier'!F124+'Achalandage journalier'!F133+'Achalandage journalier'!F143+'Achalandage journalier'!F152+'Achalandage journalier'!F161+'Achalandage journalier'!F170+'Achalandage journalier'!F179+'Achalandage journalier'!F188+'Achalandage journalier'!F197+'Achalandage journalier'!F207+'Achalandage journalier'!F216+'Achalandage journalier'!F225+'Achalandage journalier'!F234+'Achalandage journalier'!F243+'Achalandage journalier'!F252+'Achalandage journalier'!F261</f>
        <v>28</v>
      </c>
      <c r="G15" s="90">
        <f>+'Achalandage journalier'!G15+'Achalandage journalier'!G24+'Achalandage journalier'!G33+'Achalandage journalier'!G42+'Achalandage journalier'!G51+'Achalandage journalier'!G60+'Achalandage journalier'!G69+'Achalandage journalier'!G79+'Achalandage journalier'!G88+'Achalandage journalier'!G97+'Achalandage journalier'!G106+'Achalandage journalier'!G115+'Achalandage journalier'!G124+'Achalandage journalier'!G133+'Achalandage journalier'!G143+'Achalandage journalier'!G152+'Achalandage journalier'!G161+'Achalandage journalier'!G170+'Achalandage journalier'!G179+'Achalandage journalier'!G188+'Achalandage journalier'!G197+'Achalandage journalier'!G207+'Achalandage journalier'!G216+'Achalandage journalier'!G225+'Achalandage journalier'!G234+'Achalandage journalier'!G243+'Achalandage journalier'!G252+'Achalandage journalier'!G261</f>
        <v>28</v>
      </c>
      <c r="H15" s="90">
        <f>+'Achalandage journalier'!H15+'Achalandage journalier'!H24+'Achalandage journalier'!H33+'Achalandage journalier'!H42+'Achalandage journalier'!H51+'Achalandage journalier'!H60+'Achalandage journalier'!H69+'Achalandage journalier'!H79+'Achalandage journalier'!H88+'Achalandage journalier'!H97+'Achalandage journalier'!H106+'Achalandage journalier'!H115+'Achalandage journalier'!H124+'Achalandage journalier'!H133+'Achalandage journalier'!H143+'Achalandage journalier'!H152+'Achalandage journalier'!H161+'Achalandage journalier'!H170+'Achalandage journalier'!H179+'Achalandage journalier'!H188+'Achalandage journalier'!H197+'Achalandage journalier'!H207+'Achalandage journalier'!H216+'Achalandage journalier'!H225+'Achalandage journalier'!H234+'Achalandage journalier'!H243+'Achalandage journalier'!H252+'Achalandage journalier'!H261</f>
        <v>28</v>
      </c>
      <c r="I15" s="90">
        <f>+'Achalandage journalier'!I15+'Achalandage journalier'!I24+'Achalandage journalier'!I33+'Achalandage journalier'!I42+'Achalandage journalier'!I51+'Achalandage journalier'!I60+'Achalandage journalier'!I69+'Achalandage journalier'!I79+'Achalandage journalier'!I88+'Achalandage journalier'!I97+'Achalandage journalier'!I106+'Achalandage journalier'!I115+'Achalandage journalier'!I124+'Achalandage journalier'!I133+'Achalandage journalier'!I143+'Achalandage journalier'!I152+'Achalandage journalier'!I161+'Achalandage journalier'!I170+'Achalandage journalier'!I179+'Achalandage journalier'!I188+'Achalandage journalier'!I197+'Achalandage journalier'!I207+'Achalandage journalier'!I216+'Achalandage journalier'!I225+'Achalandage journalier'!I234+'Achalandage journalier'!I243+'Achalandage journalier'!I252+'Achalandage journalier'!I261</f>
        <v>28</v>
      </c>
      <c r="J15" s="90">
        <f>+'Achalandage journalier'!J15+'Achalandage journalier'!J24+'Achalandage journalier'!J33+'Achalandage journalier'!J42+'Achalandage journalier'!J51+'Achalandage journalier'!J60+'Achalandage journalier'!J69+'Achalandage journalier'!J79+'Achalandage journalier'!J88+'Achalandage journalier'!J97+'Achalandage journalier'!J106+'Achalandage journalier'!J115+'Achalandage journalier'!J124+'Achalandage journalier'!J133+'Achalandage journalier'!J143+'Achalandage journalier'!J152+'Achalandage journalier'!J161+'Achalandage journalier'!J170+'Achalandage journalier'!J179+'Achalandage journalier'!J188+'Achalandage journalier'!J197+'Achalandage journalier'!J207+'Achalandage journalier'!J216+'Achalandage journalier'!J225+'Achalandage journalier'!J234+'Achalandage journalier'!J243+'Achalandage journalier'!J252+'Achalandage journalier'!J261</f>
        <v>28</v>
      </c>
      <c r="K15" s="90">
        <f>+'Achalandage journalier'!K15+'Achalandage journalier'!K24+'Achalandage journalier'!K33+'Achalandage journalier'!K42+'Achalandage journalier'!K51+'Achalandage journalier'!K60+'Achalandage journalier'!K69+'Achalandage journalier'!K79+'Achalandage journalier'!K88+'Achalandage journalier'!K97+'Achalandage journalier'!K106+'Achalandage journalier'!K115+'Achalandage journalier'!K124+'Achalandage journalier'!K133+'Achalandage journalier'!K143+'Achalandage journalier'!K152+'Achalandage journalier'!K161+'Achalandage journalier'!K170+'Achalandage journalier'!K179+'Achalandage journalier'!K188+'Achalandage journalier'!K197+'Achalandage journalier'!K207+'Achalandage journalier'!K216+'Achalandage journalier'!K225+'Achalandage journalier'!K234+'Achalandage journalier'!K243+'Achalandage journalier'!K252+'Achalandage journalier'!K261</f>
        <v>28</v>
      </c>
      <c r="L15" s="90">
        <f>+'Achalandage journalier'!L15+'Achalandage journalier'!L24+'Achalandage journalier'!L33+'Achalandage journalier'!L42+'Achalandage journalier'!L51+'Achalandage journalier'!L60+'Achalandage journalier'!L69+'Achalandage journalier'!L79+'Achalandage journalier'!L88+'Achalandage journalier'!L97+'Achalandage journalier'!L106+'Achalandage journalier'!L115+'Achalandage journalier'!L124+'Achalandage journalier'!L133+'Achalandage journalier'!L143+'Achalandage journalier'!L152+'Achalandage journalier'!L161+'Achalandage journalier'!L170+'Achalandage journalier'!L179+'Achalandage journalier'!L188+'Achalandage journalier'!L197+'Achalandage journalier'!L207+'Achalandage journalier'!L216+'Achalandage journalier'!L225+'Achalandage journalier'!L234+'Achalandage journalier'!L243+'Achalandage journalier'!L252+'Achalandage journalier'!L261</f>
        <v>28</v>
      </c>
      <c r="M15" s="90">
        <f>+'Achalandage journalier'!M15+'Achalandage journalier'!M24+'Achalandage journalier'!M33+'Achalandage journalier'!M42+'Achalandage journalier'!M51+'Achalandage journalier'!M60+'Achalandage journalier'!M69+'Achalandage journalier'!M79+'Achalandage journalier'!M88+'Achalandage journalier'!M97+'Achalandage journalier'!M106+'Achalandage journalier'!M115+'Achalandage journalier'!M124+'Achalandage journalier'!M133+'Achalandage journalier'!M143+'Achalandage journalier'!M152+'Achalandage journalier'!M161+'Achalandage journalier'!M170+'Achalandage journalier'!M179+'Achalandage journalier'!M188+'Achalandage journalier'!M197+'Achalandage journalier'!M207+'Achalandage journalier'!M216+'Achalandage journalier'!M225+'Achalandage journalier'!M234+'Achalandage journalier'!M243+'Achalandage journalier'!M252+'Achalandage journalier'!M261</f>
        <v>28</v>
      </c>
      <c r="N15" s="90">
        <f>+'Achalandage journalier'!N15+'Achalandage journalier'!N24+'Achalandage journalier'!N33+'Achalandage journalier'!N42+'Achalandage journalier'!N51+'Achalandage journalier'!N60+'Achalandage journalier'!N69+'Achalandage journalier'!N79+'Achalandage journalier'!N88+'Achalandage journalier'!N97+'Achalandage journalier'!N106+'Achalandage journalier'!N115+'Achalandage journalier'!N124+'Achalandage journalier'!N133+'Achalandage journalier'!N143+'Achalandage journalier'!N152+'Achalandage journalier'!N161+'Achalandage journalier'!N170+'Achalandage journalier'!N179+'Achalandage journalier'!N188+'Achalandage journalier'!N197+'Achalandage journalier'!N207+'Achalandage journalier'!N216+'Achalandage journalier'!N225+'Achalandage journalier'!N234+'Achalandage journalier'!N243+'Achalandage journalier'!N252+'Achalandage journalier'!N261</f>
        <v>28</v>
      </c>
      <c r="O15" s="90">
        <f>+'Achalandage journalier'!O15+'Achalandage journalier'!O24+'Achalandage journalier'!O33+'Achalandage journalier'!O42+'Achalandage journalier'!O51+'Achalandage journalier'!O60+'Achalandage journalier'!O69+'Achalandage journalier'!O79+'Achalandage journalier'!O88+'Achalandage journalier'!O97+'Achalandage journalier'!O106+'Achalandage journalier'!O115+'Achalandage journalier'!O124+'Achalandage journalier'!O133+'Achalandage journalier'!O143+'Achalandage journalier'!O152+'Achalandage journalier'!O161+'Achalandage journalier'!O170+'Achalandage journalier'!O179+'Achalandage journalier'!O188+'Achalandage journalier'!O197+'Achalandage journalier'!O207+'Achalandage journalier'!O216+'Achalandage journalier'!O225+'Achalandage journalier'!O234+'Achalandage journalier'!O243+'Achalandage journalier'!O252+'Achalandage journalier'!O261</f>
        <v>28</v>
      </c>
      <c r="P15" s="90">
        <f>+'Achalandage journalier'!P15+'Achalandage journalier'!P24+'Achalandage journalier'!P33+'Achalandage journalier'!P42+'Achalandage journalier'!P51+'Achalandage journalier'!P60+'Achalandage journalier'!P69+'Achalandage journalier'!P79+'Achalandage journalier'!P88+'Achalandage journalier'!P97+'Achalandage journalier'!P106+'Achalandage journalier'!P115+'Achalandage journalier'!P124+'Achalandage journalier'!P133+'Achalandage journalier'!P143+'Achalandage journalier'!P152+'Achalandage journalier'!P161+'Achalandage journalier'!P170+'Achalandage journalier'!P179+'Achalandage journalier'!P188+'Achalandage journalier'!P197+'Achalandage journalier'!P207+'Achalandage journalier'!P216+'Achalandage journalier'!P225+'Achalandage journalier'!P234+'Achalandage journalier'!P243+'Achalandage journalier'!P252+'Achalandage journalier'!P261</f>
        <v>28</v>
      </c>
      <c r="Q15" s="91">
        <f t="shared" si="3"/>
        <v>364</v>
      </c>
    </row>
    <row r="16" spans="2:17" x14ac:dyDescent="0.15">
      <c r="B16" s="16">
        <v>6</v>
      </c>
      <c r="C16" s="17" t="str">
        <f>'Achalandage journalier'!C16</f>
        <v>19 h à 23 h</v>
      </c>
      <c r="D16" s="90">
        <f>+'Achalandage journalier'!D16+'Achalandage journalier'!D25+'Achalandage journalier'!D34+'Achalandage journalier'!D43+'Achalandage journalier'!D52+'Achalandage journalier'!D61+'Achalandage journalier'!D70+'Achalandage journalier'!D80+'Achalandage journalier'!D89+'Achalandage journalier'!D98+'Achalandage journalier'!D107+'Achalandage journalier'!D116+'Achalandage journalier'!D125+'Achalandage journalier'!D134+'Achalandage journalier'!D144+'Achalandage journalier'!D153+'Achalandage journalier'!D162+'Achalandage journalier'!D171+'Achalandage journalier'!D180+'Achalandage journalier'!D189+'Achalandage journalier'!D198+'Achalandage journalier'!D208+'Achalandage journalier'!D217+'Achalandage journalier'!D226+'Achalandage journalier'!D235+'Achalandage journalier'!D244+'Achalandage journalier'!D253+'Achalandage journalier'!D262</f>
        <v>28</v>
      </c>
      <c r="E16" s="90">
        <f>+'Achalandage journalier'!E16+'Achalandage journalier'!E25+'Achalandage journalier'!E34+'Achalandage journalier'!E43+'Achalandage journalier'!E52+'Achalandage journalier'!E61+'Achalandage journalier'!E70+'Achalandage journalier'!E80+'Achalandage journalier'!E89+'Achalandage journalier'!E98+'Achalandage journalier'!E107+'Achalandage journalier'!E116+'Achalandage journalier'!E125+'Achalandage journalier'!E134+'Achalandage journalier'!E144+'Achalandage journalier'!E153+'Achalandage journalier'!E162+'Achalandage journalier'!E171+'Achalandage journalier'!E180+'Achalandage journalier'!E189+'Achalandage journalier'!E198+'Achalandage journalier'!E208+'Achalandage journalier'!E217+'Achalandage journalier'!E226+'Achalandage journalier'!E235+'Achalandage journalier'!E244+'Achalandage journalier'!E253+'Achalandage journalier'!E262</f>
        <v>28</v>
      </c>
      <c r="F16" s="90">
        <f>+'Achalandage journalier'!F16+'Achalandage journalier'!F25+'Achalandage journalier'!F34+'Achalandage journalier'!F43+'Achalandage journalier'!F52+'Achalandage journalier'!F61+'Achalandage journalier'!F70+'Achalandage journalier'!F80+'Achalandage journalier'!F89+'Achalandage journalier'!F98+'Achalandage journalier'!F107+'Achalandage journalier'!F116+'Achalandage journalier'!F125+'Achalandage journalier'!F134+'Achalandage journalier'!F144+'Achalandage journalier'!F153+'Achalandage journalier'!F162+'Achalandage journalier'!F171+'Achalandage journalier'!F180+'Achalandage journalier'!F189+'Achalandage journalier'!F198+'Achalandage journalier'!F208+'Achalandage journalier'!F217+'Achalandage journalier'!F226+'Achalandage journalier'!F235+'Achalandage journalier'!F244+'Achalandage journalier'!F253+'Achalandage journalier'!F262</f>
        <v>28</v>
      </c>
      <c r="G16" s="90">
        <f>+'Achalandage journalier'!G16+'Achalandage journalier'!G25+'Achalandage journalier'!G34+'Achalandage journalier'!G43+'Achalandage journalier'!G52+'Achalandage journalier'!G61+'Achalandage journalier'!G70+'Achalandage journalier'!G80+'Achalandage journalier'!G89+'Achalandage journalier'!G98+'Achalandage journalier'!G107+'Achalandage journalier'!G116+'Achalandage journalier'!G125+'Achalandage journalier'!G134+'Achalandage journalier'!G144+'Achalandage journalier'!G153+'Achalandage journalier'!G162+'Achalandage journalier'!G171+'Achalandage journalier'!G180+'Achalandage journalier'!G189+'Achalandage journalier'!G198+'Achalandage journalier'!G208+'Achalandage journalier'!G217+'Achalandage journalier'!G226+'Achalandage journalier'!G235+'Achalandage journalier'!G244+'Achalandage journalier'!G253+'Achalandage journalier'!G262</f>
        <v>28</v>
      </c>
      <c r="H16" s="90">
        <f>+'Achalandage journalier'!H16+'Achalandage journalier'!H25+'Achalandage journalier'!H34+'Achalandage journalier'!H43+'Achalandage journalier'!H52+'Achalandage journalier'!H61+'Achalandage journalier'!H70+'Achalandage journalier'!H80+'Achalandage journalier'!H89+'Achalandage journalier'!H98+'Achalandage journalier'!H107+'Achalandage journalier'!H116+'Achalandage journalier'!H125+'Achalandage journalier'!H134+'Achalandage journalier'!H144+'Achalandage journalier'!H153+'Achalandage journalier'!H162+'Achalandage journalier'!H171+'Achalandage journalier'!H180+'Achalandage journalier'!H189+'Achalandage journalier'!H198+'Achalandage journalier'!H208+'Achalandage journalier'!H217+'Achalandage journalier'!H226+'Achalandage journalier'!H235+'Achalandage journalier'!H244+'Achalandage journalier'!H253+'Achalandage journalier'!H262</f>
        <v>28</v>
      </c>
      <c r="I16" s="90">
        <f>+'Achalandage journalier'!I16+'Achalandage journalier'!I25+'Achalandage journalier'!I34+'Achalandage journalier'!I43+'Achalandage journalier'!I52+'Achalandage journalier'!I61+'Achalandage journalier'!I70+'Achalandage journalier'!I80+'Achalandage journalier'!I89+'Achalandage journalier'!I98+'Achalandage journalier'!I107+'Achalandage journalier'!I116+'Achalandage journalier'!I125+'Achalandage journalier'!I134+'Achalandage journalier'!I144+'Achalandage journalier'!I153+'Achalandage journalier'!I162+'Achalandage journalier'!I171+'Achalandage journalier'!I180+'Achalandage journalier'!I189+'Achalandage journalier'!I198+'Achalandage journalier'!I208+'Achalandage journalier'!I217+'Achalandage journalier'!I226+'Achalandage journalier'!I235+'Achalandage journalier'!I244+'Achalandage journalier'!I253+'Achalandage journalier'!I262</f>
        <v>28</v>
      </c>
      <c r="J16" s="90">
        <f>+'Achalandage journalier'!J16+'Achalandage journalier'!J25+'Achalandage journalier'!J34+'Achalandage journalier'!J43+'Achalandage journalier'!J52+'Achalandage journalier'!J61+'Achalandage journalier'!J70+'Achalandage journalier'!J80+'Achalandage journalier'!J89+'Achalandage journalier'!J98+'Achalandage journalier'!J107+'Achalandage journalier'!J116+'Achalandage journalier'!J125+'Achalandage journalier'!J134+'Achalandage journalier'!J144+'Achalandage journalier'!J153+'Achalandage journalier'!J162+'Achalandage journalier'!J171+'Achalandage journalier'!J180+'Achalandage journalier'!J189+'Achalandage journalier'!J198+'Achalandage journalier'!J208+'Achalandage journalier'!J217+'Achalandage journalier'!J226+'Achalandage journalier'!J235+'Achalandage journalier'!J244+'Achalandage journalier'!J253+'Achalandage journalier'!J262</f>
        <v>28</v>
      </c>
      <c r="K16" s="90">
        <f>+'Achalandage journalier'!K16+'Achalandage journalier'!K25+'Achalandage journalier'!K34+'Achalandage journalier'!K43+'Achalandage journalier'!K52+'Achalandage journalier'!K61+'Achalandage journalier'!K70+'Achalandage journalier'!K80+'Achalandage journalier'!K89+'Achalandage journalier'!K98+'Achalandage journalier'!K107+'Achalandage journalier'!K116+'Achalandage journalier'!K125+'Achalandage journalier'!K134+'Achalandage journalier'!K144+'Achalandage journalier'!K153+'Achalandage journalier'!K162+'Achalandage journalier'!K171+'Achalandage journalier'!K180+'Achalandage journalier'!K189+'Achalandage journalier'!K198+'Achalandage journalier'!K208+'Achalandage journalier'!K217+'Achalandage journalier'!K226+'Achalandage journalier'!K235+'Achalandage journalier'!K244+'Achalandage journalier'!K253+'Achalandage journalier'!K262</f>
        <v>28</v>
      </c>
      <c r="L16" s="90">
        <f>+'Achalandage journalier'!L16+'Achalandage journalier'!L25+'Achalandage journalier'!L34+'Achalandage journalier'!L43+'Achalandage journalier'!L52+'Achalandage journalier'!L61+'Achalandage journalier'!L70+'Achalandage journalier'!L80+'Achalandage journalier'!L89+'Achalandage journalier'!L98+'Achalandage journalier'!L107+'Achalandage journalier'!L116+'Achalandage journalier'!L125+'Achalandage journalier'!L134+'Achalandage journalier'!L144+'Achalandage journalier'!L153+'Achalandage journalier'!L162+'Achalandage journalier'!L171+'Achalandage journalier'!L180+'Achalandage journalier'!L189+'Achalandage journalier'!L198+'Achalandage journalier'!L208+'Achalandage journalier'!L217+'Achalandage journalier'!L226+'Achalandage journalier'!L235+'Achalandage journalier'!L244+'Achalandage journalier'!L253+'Achalandage journalier'!L262</f>
        <v>28</v>
      </c>
      <c r="M16" s="90">
        <f>+'Achalandage journalier'!M16+'Achalandage journalier'!M25+'Achalandage journalier'!M34+'Achalandage journalier'!M43+'Achalandage journalier'!M52+'Achalandage journalier'!M61+'Achalandage journalier'!M70+'Achalandage journalier'!M80+'Achalandage journalier'!M89+'Achalandage journalier'!M98+'Achalandage journalier'!M107+'Achalandage journalier'!M116+'Achalandage journalier'!M125+'Achalandage journalier'!M134+'Achalandage journalier'!M144+'Achalandage journalier'!M153+'Achalandage journalier'!M162+'Achalandage journalier'!M171+'Achalandage journalier'!M180+'Achalandage journalier'!M189+'Achalandage journalier'!M198+'Achalandage journalier'!M208+'Achalandage journalier'!M217+'Achalandage journalier'!M226+'Achalandage journalier'!M235+'Achalandage journalier'!M244+'Achalandage journalier'!M253+'Achalandage journalier'!M262</f>
        <v>28</v>
      </c>
      <c r="N16" s="90">
        <f>+'Achalandage journalier'!N16+'Achalandage journalier'!N25+'Achalandage journalier'!N34+'Achalandage journalier'!N43+'Achalandage journalier'!N52+'Achalandage journalier'!N61+'Achalandage journalier'!N70+'Achalandage journalier'!N80+'Achalandage journalier'!N89+'Achalandage journalier'!N98+'Achalandage journalier'!N107+'Achalandage journalier'!N116+'Achalandage journalier'!N125+'Achalandage journalier'!N134+'Achalandage journalier'!N144+'Achalandage journalier'!N153+'Achalandage journalier'!N162+'Achalandage journalier'!N171+'Achalandage journalier'!N180+'Achalandage journalier'!N189+'Achalandage journalier'!N198+'Achalandage journalier'!N208+'Achalandage journalier'!N217+'Achalandage journalier'!N226+'Achalandage journalier'!N235+'Achalandage journalier'!N244+'Achalandage journalier'!N253+'Achalandage journalier'!N262</f>
        <v>28</v>
      </c>
      <c r="O16" s="90">
        <f>+'Achalandage journalier'!O16+'Achalandage journalier'!O25+'Achalandage journalier'!O34+'Achalandage journalier'!O43+'Achalandage journalier'!O52+'Achalandage journalier'!O61+'Achalandage journalier'!O70+'Achalandage journalier'!O80+'Achalandage journalier'!O89+'Achalandage journalier'!O98+'Achalandage journalier'!O107+'Achalandage journalier'!O116+'Achalandage journalier'!O125+'Achalandage journalier'!O134+'Achalandage journalier'!O144+'Achalandage journalier'!O153+'Achalandage journalier'!O162+'Achalandage journalier'!O171+'Achalandage journalier'!O180+'Achalandage journalier'!O189+'Achalandage journalier'!O198+'Achalandage journalier'!O208+'Achalandage journalier'!O217+'Achalandage journalier'!O226+'Achalandage journalier'!O235+'Achalandage journalier'!O244+'Achalandage journalier'!O253+'Achalandage journalier'!O262</f>
        <v>28</v>
      </c>
      <c r="P16" s="90">
        <f>+'Achalandage journalier'!P16+'Achalandage journalier'!P25+'Achalandage journalier'!P34+'Achalandage journalier'!P43+'Achalandage journalier'!P52+'Achalandage journalier'!P61+'Achalandage journalier'!P70+'Achalandage journalier'!P80+'Achalandage journalier'!P89+'Achalandage journalier'!P98+'Achalandage journalier'!P107+'Achalandage journalier'!P116+'Achalandage journalier'!P125+'Achalandage journalier'!P134+'Achalandage journalier'!P144+'Achalandage journalier'!P153+'Achalandage journalier'!P162+'Achalandage journalier'!P171+'Achalandage journalier'!P180+'Achalandage journalier'!P189+'Achalandage journalier'!P198+'Achalandage journalier'!P208+'Achalandage journalier'!P217+'Achalandage journalier'!P226+'Achalandage journalier'!P235+'Achalandage journalier'!P244+'Achalandage journalier'!P253+'Achalandage journalier'!P262</f>
        <v>28</v>
      </c>
      <c r="Q16" s="91">
        <f t="shared" si="3"/>
        <v>364</v>
      </c>
    </row>
    <row r="17" spans="2:17" x14ac:dyDescent="0.15">
      <c r="B17" s="16">
        <v>7</v>
      </c>
      <c r="C17" s="17" t="str">
        <f>'Achalandage journalier'!C17</f>
        <v>23 h à 6 h</v>
      </c>
      <c r="D17" s="90">
        <f>+'Achalandage journalier'!D17+'Achalandage journalier'!D26+'Achalandage journalier'!D35+'Achalandage journalier'!D44+'Achalandage journalier'!D53+'Achalandage journalier'!D62+'Achalandage journalier'!D71+'Achalandage journalier'!D81+'Achalandage journalier'!D90+'Achalandage journalier'!D99+'Achalandage journalier'!D108+'Achalandage journalier'!D117+'Achalandage journalier'!D126+'Achalandage journalier'!D135+'Achalandage journalier'!D145+'Achalandage journalier'!D154+'Achalandage journalier'!D163+'Achalandage journalier'!D172+'Achalandage journalier'!D181+'Achalandage journalier'!D190+'Achalandage journalier'!D199+'Achalandage journalier'!D209+'Achalandage journalier'!D218+'Achalandage journalier'!D227+'Achalandage journalier'!D236+'Achalandage journalier'!D245+'Achalandage journalier'!D254+'Achalandage journalier'!D263</f>
        <v>28</v>
      </c>
      <c r="E17" s="90">
        <f>+'Achalandage journalier'!E17+'Achalandage journalier'!E26+'Achalandage journalier'!E35+'Achalandage journalier'!E44+'Achalandage journalier'!E53+'Achalandage journalier'!E62+'Achalandage journalier'!E71+'Achalandage journalier'!E81+'Achalandage journalier'!E90+'Achalandage journalier'!E99+'Achalandage journalier'!E108+'Achalandage journalier'!E117+'Achalandage journalier'!E126+'Achalandage journalier'!E135+'Achalandage journalier'!E145+'Achalandage journalier'!E154+'Achalandage journalier'!E163+'Achalandage journalier'!E172+'Achalandage journalier'!E181+'Achalandage journalier'!E190+'Achalandage journalier'!E199+'Achalandage journalier'!E209+'Achalandage journalier'!E218+'Achalandage journalier'!E227+'Achalandage journalier'!E236+'Achalandage journalier'!E245+'Achalandage journalier'!E254+'Achalandage journalier'!E263</f>
        <v>28</v>
      </c>
      <c r="F17" s="90">
        <f>+'Achalandage journalier'!F17+'Achalandage journalier'!F26+'Achalandage journalier'!F35+'Achalandage journalier'!F44+'Achalandage journalier'!F53+'Achalandage journalier'!F62+'Achalandage journalier'!F71+'Achalandage journalier'!F81+'Achalandage journalier'!F90+'Achalandage journalier'!F99+'Achalandage journalier'!F108+'Achalandage journalier'!F117+'Achalandage journalier'!F126+'Achalandage journalier'!F135+'Achalandage journalier'!F145+'Achalandage journalier'!F154+'Achalandage journalier'!F163+'Achalandage journalier'!F172+'Achalandage journalier'!F181+'Achalandage journalier'!F190+'Achalandage journalier'!F199+'Achalandage journalier'!F209+'Achalandage journalier'!F218+'Achalandage journalier'!F227+'Achalandage journalier'!F236+'Achalandage journalier'!F245+'Achalandage journalier'!F254+'Achalandage journalier'!F263</f>
        <v>28</v>
      </c>
      <c r="G17" s="90">
        <f>+'Achalandage journalier'!G17+'Achalandage journalier'!G26+'Achalandage journalier'!G35+'Achalandage journalier'!G44+'Achalandage journalier'!G53+'Achalandage journalier'!G62+'Achalandage journalier'!G71+'Achalandage journalier'!G81+'Achalandage journalier'!G90+'Achalandage journalier'!G99+'Achalandage journalier'!G108+'Achalandage journalier'!G117+'Achalandage journalier'!G126+'Achalandage journalier'!G135+'Achalandage journalier'!G145+'Achalandage journalier'!G154+'Achalandage journalier'!G163+'Achalandage journalier'!G172+'Achalandage journalier'!G181+'Achalandage journalier'!G190+'Achalandage journalier'!G199+'Achalandage journalier'!G209+'Achalandage journalier'!G218+'Achalandage journalier'!G227+'Achalandage journalier'!G236+'Achalandage journalier'!G245+'Achalandage journalier'!G254+'Achalandage journalier'!G263</f>
        <v>28</v>
      </c>
      <c r="H17" s="90">
        <f>+'Achalandage journalier'!H17+'Achalandage journalier'!H26+'Achalandage journalier'!H35+'Achalandage journalier'!H44+'Achalandage journalier'!H53+'Achalandage journalier'!H62+'Achalandage journalier'!H71+'Achalandage journalier'!H81+'Achalandage journalier'!H90+'Achalandage journalier'!H99+'Achalandage journalier'!H108+'Achalandage journalier'!H117+'Achalandage journalier'!H126+'Achalandage journalier'!H135+'Achalandage journalier'!H145+'Achalandage journalier'!H154+'Achalandage journalier'!H163+'Achalandage journalier'!H172+'Achalandage journalier'!H181+'Achalandage journalier'!H190+'Achalandage journalier'!H199+'Achalandage journalier'!H209+'Achalandage journalier'!H218+'Achalandage journalier'!H227+'Achalandage journalier'!H236+'Achalandage journalier'!H245+'Achalandage journalier'!H254+'Achalandage journalier'!H263</f>
        <v>28</v>
      </c>
      <c r="I17" s="90">
        <f>+'Achalandage journalier'!I17+'Achalandage journalier'!I26+'Achalandage journalier'!I35+'Achalandage journalier'!I44+'Achalandage journalier'!I53+'Achalandage journalier'!I62+'Achalandage journalier'!I71+'Achalandage journalier'!I81+'Achalandage journalier'!I90+'Achalandage journalier'!I99+'Achalandage journalier'!I108+'Achalandage journalier'!I117+'Achalandage journalier'!I126+'Achalandage journalier'!I135+'Achalandage journalier'!I145+'Achalandage journalier'!I154+'Achalandage journalier'!I163+'Achalandage journalier'!I172+'Achalandage journalier'!I181+'Achalandage journalier'!I190+'Achalandage journalier'!I199+'Achalandage journalier'!I209+'Achalandage journalier'!I218+'Achalandage journalier'!I227+'Achalandage journalier'!I236+'Achalandage journalier'!I245+'Achalandage journalier'!I254+'Achalandage journalier'!I263</f>
        <v>28</v>
      </c>
      <c r="J17" s="90">
        <f>+'Achalandage journalier'!J17+'Achalandage journalier'!J26+'Achalandage journalier'!J35+'Achalandage journalier'!J44+'Achalandage journalier'!J53+'Achalandage journalier'!J62+'Achalandage journalier'!J71+'Achalandage journalier'!J81+'Achalandage journalier'!J90+'Achalandage journalier'!J99+'Achalandage journalier'!J108+'Achalandage journalier'!J117+'Achalandage journalier'!J126+'Achalandage journalier'!J135+'Achalandage journalier'!J145+'Achalandage journalier'!J154+'Achalandage journalier'!J163+'Achalandage journalier'!J172+'Achalandage journalier'!J181+'Achalandage journalier'!J190+'Achalandage journalier'!J199+'Achalandage journalier'!J209+'Achalandage journalier'!J218+'Achalandage journalier'!J227+'Achalandage journalier'!J236+'Achalandage journalier'!J245+'Achalandage journalier'!J254+'Achalandage journalier'!J263</f>
        <v>28</v>
      </c>
      <c r="K17" s="90">
        <f>+'Achalandage journalier'!K17+'Achalandage journalier'!K26+'Achalandage journalier'!K35+'Achalandage journalier'!K44+'Achalandage journalier'!K53+'Achalandage journalier'!K62+'Achalandage journalier'!K71+'Achalandage journalier'!K81+'Achalandage journalier'!K90+'Achalandage journalier'!K99+'Achalandage journalier'!K108+'Achalandage journalier'!K117+'Achalandage journalier'!K126+'Achalandage journalier'!K135+'Achalandage journalier'!K145+'Achalandage journalier'!K154+'Achalandage journalier'!K163+'Achalandage journalier'!K172+'Achalandage journalier'!K181+'Achalandage journalier'!K190+'Achalandage journalier'!K199+'Achalandage journalier'!K209+'Achalandage journalier'!K218+'Achalandage journalier'!K227+'Achalandage journalier'!K236+'Achalandage journalier'!K245+'Achalandage journalier'!K254+'Achalandage journalier'!K263</f>
        <v>28</v>
      </c>
      <c r="L17" s="90">
        <f>+'Achalandage journalier'!L17+'Achalandage journalier'!L26+'Achalandage journalier'!L35+'Achalandage journalier'!L44+'Achalandage journalier'!L53+'Achalandage journalier'!L62+'Achalandage journalier'!L71+'Achalandage journalier'!L81+'Achalandage journalier'!L90+'Achalandage journalier'!L99+'Achalandage journalier'!L108+'Achalandage journalier'!L117+'Achalandage journalier'!L126+'Achalandage journalier'!L135+'Achalandage journalier'!L145+'Achalandage journalier'!L154+'Achalandage journalier'!L163+'Achalandage journalier'!L172+'Achalandage journalier'!L181+'Achalandage journalier'!L190+'Achalandage journalier'!L199+'Achalandage journalier'!L209+'Achalandage journalier'!L218+'Achalandage journalier'!L227+'Achalandage journalier'!L236+'Achalandage journalier'!L245+'Achalandage journalier'!L254+'Achalandage journalier'!L263</f>
        <v>28</v>
      </c>
      <c r="M17" s="90">
        <f>+'Achalandage journalier'!M17+'Achalandage journalier'!M26+'Achalandage journalier'!M35+'Achalandage journalier'!M44+'Achalandage journalier'!M53+'Achalandage journalier'!M62+'Achalandage journalier'!M71+'Achalandage journalier'!M81+'Achalandage journalier'!M90+'Achalandage journalier'!M99+'Achalandage journalier'!M108+'Achalandage journalier'!M117+'Achalandage journalier'!M126+'Achalandage journalier'!M135+'Achalandage journalier'!M145+'Achalandage journalier'!M154+'Achalandage journalier'!M163+'Achalandage journalier'!M172+'Achalandage journalier'!M181+'Achalandage journalier'!M190+'Achalandage journalier'!M199+'Achalandage journalier'!M209+'Achalandage journalier'!M218+'Achalandage journalier'!M227+'Achalandage journalier'!M236+'Achalandage journalier'!M245+'Achalandage journalier'!M254+'Achalandage journalier'!M263</f>
        <v>28</v>
      </c>
      <c r="N17" s="90">
        <f>+'Achalandage journalier'!N17+'Achalandage journalier'!N26+'Achalandage journalier'!N35+'Achalandage journalier'!N44+'Achalandage journalier'!N53+'Achalandage journalier'!N62+'Achalandage journalier'!N71+'Achalandage journalier'!N81+'Achalandage journalier'!N90+'Achalandage journalier'!N99+'Achalandage journalier'!N108+'Achalandage journalier'!N117+'Achalandage journalier'!N126+'Achalandage journalier'!N135+'Achalandage journalier'!N145+'Achalandage journalier'!N154+'Achalandage journalier'!N163+'Achalandage journalier'!N172+'Achalandage journalier'!N181+'Achalandage journalier'!N190+'Achalandage journalier'!N199+'Achalandage journalier'!N209+'Achalandage journalier'!N218+'Achalandage journalier'!N227+'Achalandage journalier'!N236+'Achalandage journalier'!N245+'Achalandage journalier'!N254+'Achalandage journalier'!N263</f>
        <v>28</v>
      </c>
      <c r="O17" s="90">
        <f>+'Achalandage journalier'!O17+'Achalandage journalier'!O26+'Achalandage journalier'!O35+'Achalandage journalier'!O44+'Achalandage journalier'!O53+'Achalandage journalier'!O62+'Achalandage journalier'!O71+'Achalandage journalier'!O81+'Achalandage journalier'!O90+'Achalandage journalier'!O99+'Achalandage journalier'!O108+'Achalandage journalier'!O117+'Achalandage journalier'!O126+'Achalandage journalier'!O135+'Achalandage journalier'!O145+'Achalandage journalier'!O154+'Achalandage journalier'!O163+'Achalandage journalier'!O172+'Achalandage journalier'!O181+'Achalandage journalier'!O190+'Achalandage journalier'!O199+'Achalandage journalier'!O209+'Achalandage journalier'!O218+'Achalandage journalier'!O227+'Achalandage journalier'!O236+'Achalandage journalier'!O245+'Achalandage journalier'!O254+'Achalandage journalier'!O263</f>
        <v>28</v>
      </c>
      <c r="P17" s="90">
        <f>+'Achalandage journalier'!P17+'Achalandage journalier'!P26+'Achalandage journalier'!P35+'Achalandage journalier'!P44+'Achalandage journalier'!P53+'Achalandage journalier'!P62+'Achalandage journalier'!P71+'Achalandage journalier'!P81+'Achalandage journalier'!P90+'Achalandage journalier'!P99+'Achalandage journalier'!P108+'Achalandage journalier'!P117+'Achalandage journalier'!P126+'Achalandage journalier'!P135+'Achalandage journalier'!P145+'Achalandage journalier'!P154+'Achalandage journalier'!P163+'Achalandage journalier'!P172+'Achalandage journalier'!P181+'Achalandage journalier'!P190+'Achalandage journalier'!P199+'Achalandage journalier'!P209+'Achalandage journalier'!P218+'Achalandage journalier'!P227+'Achalandage journalier'!P236+'Achalandage journalier'!P245+'Achalandage journalier'!P254+'Achalandage journalier'!P263</f>
        <v>28</v>
      </c>
      <c r="Q17" s="91">
        <f t="shared" si="3"/>
        <v>364</v>
      </c>
    </row>
    <row r="18" spans="2:17" ht="14" thickBot="1" x14ac:dyDescent="0.2">
      <c r="B18" s="29"/>
      <c r="C18" s="92" t="str">
        <f>'Achalandage journalier'!C18</f>
        <v>Total</v>
      </c>
      <c r="D18" s="93">
        <f t="shared" ref="D18:P18" si="6">+D11+D12+D13+D14+D15+D16+D17</f>
        <v>196</v>
      </c>
      <c r="E18" s="93">
        <f t="shared" si="6"/>
        <v>196</v>
      </c>
      <c r="F18" s="93">
        <f t="shared" si="6"/>
        <v>196</v>
      </c>
      <c r="G18" s="93">
        <f t="shared" si="6"/>
        <v>196</v>
      </c>
      <c r="H18" s="93">
        <f t="shared" si="6"/>
        <v>196</v>
      </c>
      <c r="I18" s="93">
        <f t="shared" si="6"/>
        <v>196</v>
      </c>
      <c r="J18" s="93">
        <f t="shared" si="6"/>
        <v>196</v>
      </c>
      <c r="K18" s="93">
        <f t="shared" si="6"/>
        <v>196</v>
      </c>
      <c r="L18" s="93">
        <f t="shared" si="6"/>
        <v>196</v>
      </c>
      <c r="M18" s="93">
        <f t="shared" si="6"/>
        <v>196</v>
      </c>
      <c r="N18" s="93">
        <f t="shared" si="6"/>
        <v>196</v>
      </c>
      <c r="O18" s="93">
        <f t="shared" si="6"/>
        <v>196</v>
      </c>
      <c r="P18" s="93">
        <f t="shared" si="6"/>
        <v>196</v>
      </c>
      <c r="Q18" s="94">
        <f>+Q11+Q12+Q13+Q14+Q15+Q16+Q17</f>
        <v>2548</v>
      </c>
    </row>
    <row r="19" spans="2:17" ht="15" thickTop="1" thickBot="1" x14ac:dyDescent="0.2">
      <c r="B19" s="589" t="s">
        <v>40</v>
      </c>
      <c r="C19" s="590"/>
      <c r="D19" s="95">
        <f>'Achalandage journalier'!D267</f>
        <v>196</v>
      </c>
      <c r="E19" s="95">
        <f>'Achalandage journalier'!E267</f>
        <v>196</v>
      </c>
      <c r="F19" s="95">
        <f>'Achalandage journalier'!F267</f>
        <v>196</v>
      </c>
      <c r="G19" s="95">
        <f>'Achalandage journalier'!G267</f>
        <v>196</v>
      </c>
      <c r="H19" s="95">
        <f>'Achalandage journalier'!H267</f>
        <v>196</v>
      </c>
      <c r="I19" s="95">
        <f>'Achalandage journalier'!I267</f>
        <v>196</v>
      </c>
      <c r="J19" s="95">
        <f>'Achalandage journalier'!J267</f>
        <v>196</v>
      </c>
      <c r="K19" s="95">
        <f>'Achalandage journalier'!K267</f>
        <v>196</v>
      </c>
      <c r="L19" s="95">
        <f>'Achalandage journalier'!L267</f>
        <v>196</v>
      </c>
      <c r="M19" s="95">
        <f>'Achalandage journalier'!M267</f>
        <v>196</v>
      </c>
      <c r="N19" s="95">
        <f>'Achalandage journalier'!N267</f>
        <v>196</v>
      </c>
      <c r="O19" s="95">
        <f>'Achalandage journalier'!O267</f>
        <v>196</v>
      </c>
      <c r="P19" s="95">
        <f>'Achalandage journalier'!P267</f>
        <v>196</v>
      </c>
      <c r="Q19" s="96">
        <f>'Achalandage journalier'!Q267</f>
        <v>2548</v>
      </c>
    </row>
    <row r="20" spans="2:17" ht="15" thickTop="1" thickBot="1" x14ac:dyDescent="0.2"/>
    <row r="21" spans="2:17" ht="15" thickTop="1" thickBot="1" x14ac:dyDescent="0.2">
      <c r="B21" s="591" t="s">
        <v>41</v>
      </c>
      <c r="C21" s="592"/>
      <c r="D21" s="105">
        <f t="shared" ref="D21:Q21" si="7">+D19/(D7*D9)</f>
        <v>0.25</v>
      </c>
      <c r="E21" s="105">
        <f t="shared" si="7"/>
        <v>0.25</v>
      </c>
      <c r="F21" s="105">
        <f t="shared" si="7"/>
        <v>0.25</v>
      </c>
      <c r="G21" s="105">
        <f t="shared" si="7"/>
        <v>0.25</v>
      </c>
      <c r="H21" s="105">
        <f t="shared" si="7"/>
        <v>0.25</v>
      </c>
      <c r="I21" s="105">
        <f t="shared" si="7"/>
        <v>0.25</v>
      </c>
      <c r="J21" s="105">
        <f t="shared" si="7"/>
        <v>0.25</v>
      </c>
      <c r="K21" s="105">
        <f t="shared" si="7"/>
        <v>0.25</v>
      </c>
      <c r="L21" s="105">
        <f t="shared" si="7"/>
        <v>0.25</v>
      </c>
      <c r="M21" s="105">
        <f t="shared" si="7"/>
        <v>0.25</v>
      </c>
      <c r="N21" s="105">
        <f t="shared" si="7"/>
        <v>0.25</v>
      </c>
      <c r="O21" s="105">
        <f t="shared" si="7"/>
        <v>0.25</v>
      </c>
      <c r="P21" s="105">
        <f t="shared" si="7"/>
        <v>0.25</v>
      </c>
      <c r="Q21" s="106">
        <f t="shared" si="7"/>
        <v>0.25</v>
      </c>
    </row>
    <row r="22" spans="2:17" ht="15" thickTop="1" thickBot="1" x14ac:dyDescent="0.2"/>
    <row r="23" spans="2:17" ht="15" thickTop="1" thickBot="1" x14ac:dyDescent="0.2">
      <c r="B23" s="591" t="s">
        <v>42</v>
      </c>
      <c r="C23" s="592"/>
      <c r="D23" s="97">
        <f t="shared" ref="D23:Q23" si="8">+D19/(D7*D9)</f>
        <v>0.25</v>
      </c>
      <c r="E23" s="97">
        <f t="shared" si="8"/>
        <v>0.25</v>
      </c>
      <c r="F23" s="97">
        <f t="shared" si="8"/>
        <v>0.25</v>
      </c>
      <c r="G23" s="97">
        <f t="shared" si="8"/>
        <v>0.25</v>
      </c>
      <c r="H23" s="97">
        <f t="shared" si="8"/>
        <v>0.25</v>
      </c>
      <c r="I23" s="97">
        <f t="shared" si="8"/>
        <v>0.25</v>
      </c>
      <c r="J23" s="97">
        <f t="shared" si="8"/>
        <v>0.25</v>
      </c>
      <c r="K23" s="97">
        <f t="shared" si="8"/>
        <v>0.25</v>
      </c>
      <c r="L23" s="97">
        <f t="shared" si="8"/>
        <v>0.25</v>
      </c>
      <c r="M23" s="97">
        <f t="shared" si="8"/>
        <v>0.25</v>
      </c>
      <c r="N23" s="97">
        <f t="shared" si="8"/>
        <v>0.25</v>
      </c>
      <c r="O23" s="97">
        <f t="shared" si="8"/>
        <v>0.25</v>
      </c>
      <c r="P23" s="97">
        <f t="shared" si="8"/>
        <v>0.25</v>
      </c>
      <c r="Q23" s="98">
        <f t="shared" si="8"/>
        <v>0.25</v>
      </c>
    </row>
    <row r="24" spans="2:17" ht="14" thickTop="1" x14ac:dyDescent="0.15"/>
  </sheetData>
  <sheetProtection algorithmName="SHA-512" hashValue="q79ye4duVQuXy7FMOdkbJy+5EOuS4HsDwdQ0+BI3rnPaRsy5G37Im8QPHx6fB93c7dmB0aPdrP6ty8tsMsN/bw==" saltValue="CpyT4Gi4VP81XwjIwfksBg==" spinCount="100000" sheet="1" objects="1" scenarios="1"/>
  <mergeCells count="9">
    <mergeCell ref="B19:C19"/>
    <mergeCell ref="B21:C21"/>
    <mergeCell ref="B23:C23"/>
    <mergeCell ref="B2:Q2"/>
    <mergeCell ref="B3:Q3"/>
    <mergeCell ref="B4:Q4"/>
    <mergeCell ref="B7:C7"/>
    <mergeCell ref="B8:C8"/>
    <mergeCell ref="B9:C9"/>
  </mergeCells>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E0E6F-FC5C-984F-A056-9D1BCDCD8AA2}">
  <sheetPr>
    <tabColor theme="1"/>
  </sheetPr>
  <dimension ref="A1:T642"/>
  <sheetViews>
    <sheetView zoomScale="130" zoomScaleNormal="130" workbookViewId="0">
      <selection sqref="A1:A258"/>
    </sheetView>
  </sheetViews>
  <sheetFormatPr baseColWidth="10" defaultColWidth="10.6640625" defaultRowHeight="13" x14ac:dyDescent="0.15"/>
  <cols>
    <col min="1" max="1" width="10.6640625" style="149"/>
    <col min="2" max="2" width="5.33203125" style="149" customWidth="1"/>
    <col min="3" max="3" width="3.6640625" style="149" customWidth="1"/>
    <col min="4" max="4" width="69" style="149" bestFit="1" customWidth="1"/>
    <col min="5" max="5" width="52.1640625" style="149" bestFit="1" customWidth="1"/>
    <col min="6" max="6" width="21.6640625" style="149" bestFit="1" customWidth="1"/>
    <col min="7" max="7" width="30.1640625" style="149" bestFit="1" customWidth="1"/>
    <col min="8" max="8" width="47.5" style="149" bestFit="1" customWidth="1"/>
    <col min="9" max="9" width="9.83203125" style="149" bestFit="1" customWidth="1"/>
    <col min="10" max="10" width="7.6640625" style="149" customWidth="1"/>
    <col min="11" max="11" width="2.5" style="149" customWidth="1"/>
    <col min="12" max="12" width="23.5" style="149" customWidth="1"/>
    <col min="13" max="13" width="15.33203125" style="149" customWidth="1"/>
    <col min="14" max="14" width="19.1640625" style="149" customWidth="1"/>
    <col min="15" max="15" width="9.6640625" style="149" customWidth="1"/>
    <col min="16" max="16" width="7" style="149" customWidth="1"/>
    <col min="17" max="18" width="1.6640625" style="149" customWidth="1"/>
    <col min="19" max="19" width="4.6640625" style="149" customWidth="1"/>
    <col min="20" max="16384" width="10.6640625" style="149"/>
  </cols>
  <sheetData>
    <row r="1" spans="1:14" ht="13" customHeight="1" x14ac:dyDescent="0.15">
      <c r="A1" s="623" t="s">
        <v>135</v>
      </c>
    </row>
    <row r="2" spans="1:14" ht="22" customHeight="1" x14ac:dyDescent="0.25">
      <c r="A2" s="624"/>
      <c r="D2" s="287" t="s">
        <v>134</v>
      </c>
      <c r="F2" s="283"/>
    </row>
    <row r="3" spans="1:14" ht="23" thickBot="1" x14ac:dyDescent="0.3">
      <c r="A3" s="624"/>
      <c r="D3" s="285"/>
    </row>
    <row r="4" spans="1:14" ht="23" customHeight="1" thickTop="1" x14ac:dyDescent="0.25">
      <c r="A4" s="624"/>
      <c r="D4" s="285"/>
      <c r="E4" s="604" t="s">
        <v>133</v>
      </c>
      <c r="F4" s="604" t="s">
        <v>132</v>
      </c>
      <c r="G4" s="604" t="s">
        <v>131</v>
      </c>
      <c r="H4" s="604" t="s">
        <v>130</v>
      </c>
      <c r="I4" s="286"/>
      <c r="L4" s="613" t="s">
        <v>84</v>
      </c>
      <c r="M4" s="613" t="s">
        <v>83</v>
      </c>
      <c r="N4" s="217"/>
    </row>
    <row r="5" spans="1:14" ht="22" x14ac:dyDescent="0.25">
      <c r="A5" s="624"/>
      <c r="D5" s="285"/>
      <c r="E5" s="605"/>
      <c r="F5" s="607"/>
      <c r="G5" s="607"/>
      <c r="H5" s="607"/>
      <c r="I5" s="284"/>
      <c r="L5" s="614"/>
      <c r="M5" s="616"/>
      <c r="N5" s="217"/>
    </row>
    <row r="6" spans="1:14" ht="17" customHeight="1" thickBot="1" x14ac:dyDescent="0.25">
      <c r="A6" s="624"/>
      <c r="E6" s="606"/>
      <c r="F6" s="608"/>
      <c r="G6" s="608"/>
      <c r="H6" s="608"/>
      <c r="I6" s="284"/>
      <c r="L6" s="615"/>
      <c r="M6" s="617"/>
      <c r="N6" s="217"/>
    </row>
    <row r="7" spans="1:14" ht="18" thickTop="1" thickBot="1" x14ac:dyDescent="0.25">
      <c r="A7" s="624"/>
      <c r="B7" s="149" t="s">
        <v>1</v>
      </c>
      <c r="E7" s="283"/>
      <c r="F7" s="283"/>
      <c r="G7" s="282"/>
      <c r="L7" s="289"/>
      <c r="N7" s="217"/>
    </row>
    <row r="8" spans="1:14" ht="19" thickTop="1" x14ac:dyDescent="0.3">
      <c r="A8" s="624"/>
      <c r="B8" s="182"/>
      <c r="C8" s="182"/>
      <c r="D8" s="241" t="s">
        <v>129</v>
      </c>
      <c r="E8" s="264"/>
      <c r="F8" s="264"/>
      <c r="G8" s="244"/>
      <c r="H8" s="182"/>
      <c r="I8" s="182"/>
      <c r="J8" s="182"/>
      <c r="K8" s="182"/>
      <c r="L8" s="281"/>
      <c r="M8" s="299"/>
      <c r="N8" s="217"/>
    </row>
    <row r="9" spans="1:14" ht="18" x14ac:dyDescent="0.3">
      <c r="A9" s="624"/>
      <c r="B9" s="182">
        <v>1</v>
      </c>
      <c r="C9" s="182">
        <v>1</v>
      </c>
      <c r="D9" s="182" t="s">
        <v>128</v>
      </c>
      <c r="E9" s="268">
        <v>1.21</v>
      </c>
      <c r="F9" s="267">
        <v>3.3</v>
      </c>
      <c r="G9" s="266">
        <f t="shared" ref="G9:G21" si="0">E9/F9</f>
        <v>0.3666666666666667</v>
      </c>
      <c r="H9" s="265">
        <f t="shared" ref="H9:H21" si="1">F9-E9</f>
        <v>2.09</v>
      </c>
      <c r="I9" s="264">
        <f>F9</f>
        <v>3.3</v>
      </c>
      <c r="J9" s="618">
        <f>3/12</f>
        <v>0.25</v>
      </c>
      <c r="K9" s="269"/>
      <c r="L9" s="279"/>
      <c r="M9" s="297"/>
      <c r="N9" s="217"/>
    </row>
    <row r="10" spans="1:14" ht="18" x14ac:dyDescent="0.3">
      <c r="A10" s="624"/>
      <c r="B10" s="182">
        <v>2</v>
      </c>
      <c r="C10" s="182">
        <v>2</v>
      </c>
      <c r="D10" s="182" t="s">
        <v>127</v>
      </c>
      <c r="E10" s="268">
        <v>1.31</v>
      </c>
      <c r="F10" s="267">
        <v>3.8</v>
      </c>
      <c r="G10" s="266">
        <f t="shared" si="0"/>
        <v>0.34473684210526317</v>
      </c>
      <c r="H10" s="265">
        <f t="shared" si="1"/>
        <v>2.4899999999999998</v>
      </c>
      <c r="I10" s="264"/>
      <c r="J10" s="610"/>
      <c r="K10" s="263"/>
      <c r="L10" s="231"/>
      <c r="M10" s="297"/>
      <c r="N10" s="217"/>
    </row>
    <row r="11" spans="1:14" ht="19" thickBot="1" x14ac:dyDescent="0.35">
      <c r="A11" s="624"/>
      <c r="B11" s="275">
        <v>3</v>
      </c>
      <c r="C11" s="275">
        <v>3</v>
      </c>
      <c r="D11" s="275" t="s">
        <v>126</v>
      </c>
      <c r="E11" s="274">
        <v>1.35</v>
      </c>
      <c r="F11" s="273">
        <v>4</v>
      </c>
      <c r="G11" s="272">
        <f t="shared" si="0"/>
        <v>0.33750000000000002</v>
      </c>
      <c r="H11" s="271">
        <f t="shared" si="1"/>
        <v>2.65</v>
      </c>
      <c r="I11" s="270">
        <f>+I9+1.1</f>
        <v>4.4000000000000004</v>
      </c>
      <c r="J11" s="619"/>
      <c r="K11" s="263"/>
      <c r="L11" s="231"/>
      <c r="M11" s="297"/>
      <c r="N11" s="217"/>
    </row>
    <row r="12" spans="1:14" ht="18" x14ac:dyDescent="0.3">
      <c r="A12" s="624"/>
      <c r="B12" s="182">
        <v>4</v>
      </c>
      <c r="C12" s="182">
        <v>4</v>
      </c>
      <c r="D12" s="182" t="s">
        <v>125</v>
      </c>
      <c r="E12" s="268">
        <v>1.4</v>
      </c>
      <c r="F12" s="267">
        <v>4.5</v>
      </c>
      <c r="G12" s="266">
        <f t="shared" si="0"/>
        <v>0.31111111111111112</v>
      </c>
      <c r="H12" s="265">
        <f t="shared" si="1"/>
        <v>3.1</v>
      </c>
      <c r="I12" s="264">
        <f>+I11+0.01</f>
        <v>4.41</v>
      </c>
      <c r="J12" s="609">
        <f>7/12</f>
        <v>0.58333333333333337</v>
      </c>
      <c r="K12" s="269"/>
      <c r="L12" s="231"/>
      <c r="M12" s="297"/>
      <c r="N12" s="217"/>
    </row>
    <row r="13" spans="1:14" ht="18" x14ac:dyDescent="0.3">
      <c r="A13" s="624"/>
      <c r="B13" s="182">
        <v>5</v>
      </c>
      <c r="C13" s="182">
        <v>5</v>
      </c>
      <c r="D13" s="182" t="s">
        <v>124</v>
      </c>
      <c r="E13" s="268">
        <v>1.24</v>
      </c>
      <c r="F13" s="267">
        <v>4.5999999999999996</v>
      </c>
      <c r="G13" s="266">
        <f t="shared" si="0"/>
        <v>0.26956521739130435</v>
      </c>
      <c r="H13" s="265">
        <f t="shared" si="1"/>
        <v>3.3599999999999994</v>
      </c>
      <c r="I13" s="264"/>
      <c r="J13" s="610"/>
      <c r="K13" s="263"/>
      <c r="L13" s="231"/>
      <c r="M13" s="297"/>
      <c r="N13" s="217"/>
    </row>
    <row r="14" spans="1:14" ht="18" x14ac:dyDescent="0.3">
      <c r="A14" s="624"/>
      <c r="B14" s="182">
        <v>6</v>
      </c>
      <c r="C14" s="182">
        <v>6</v>
      </c>
      <c r="D14" s="182" t="s">
        <v>123</v>
      </c>
      <c r="E14" s="268">
        <v>1.39</v>
      </c>
      <c r="F14" s="267">
        <v>4.7</v>
      </c>
      <c r="G14" s="266">
        <f t="shared" si="0"/>
        <v>0.29574468085106381</v>
      </c>
      <c r="H14" s="265">
        <f t="shared" si="1"/>
        <v>3.3100000000000005</v>
      </c>
      <c r="I14" s="264"/>
      <c r="J14" s="610"/>
      <c r="K14" s="263"/>
      <c r="L14" s="231"/>
      <c r="M14" s="297"/>
      <c r="N14" s="217"/>
    </row>
    <row r="15" spans="1:14" ht="18" x14ac:dyDescent="0.3">
      <c r="A15" s="624"/>
      <c r="B15" s="182">
        <v>7</v>
      </c>
      <c r="C15" s="182">
        <v>7</v>
      </c>
      <c r="D15" s="182" t="s">
        <v>122</v>
      </c>
      <c r="E15" s="268">
        <v>1.51</v>
      </c>
      <c r="F15" s="267">
        <v>4.8</v>
      </c>
      <c r="G15" s="266">
        <f t="shared" si="0"/>
        <v>0.31458333333333333</v>
      </c>
      <c r="H15" s="265">
        <f t="shared" si="1"/>
        <v>3.29</v>
      </c>
      <c r="I15" s="264"/>
      <c r="J15" s="610"/>
      <c r="K15" s="263"/>
      <c r="L15" s="231"/>
      <c r="M15" s="297"/>
      <c r="N15" s="217"/>
    </row>
    <row r="16" spans="1:14" ht="18" x14ac:dyDescent="0.3">
      <c r="A16" s="624"/>
      <c r="B16" s="182">
        <v>8</v>
      </c>
      <c r="C16" s="182">
        <v>8</v>
      </c>
      <c r="D16" s="182" t="s">
        <v>121</v>
      </c>
      <c r="E16" s="268">
        <v>1.53</v>
      </c>
      <c r="F16" s="267">
        <v>4.9000000000000004</v>
      </c>
      <c r="G16" s="266">
        <f t="shared" si="0"/>
        <v>0.31224489795918364</v>
      </c>
      <c r="H16" s="265">
        <f t="shared" si="1"/>
        <v>3.37</v>
      </c>
      <c r="I16" s="264"/>
      <c r="J16" s="610"/>
      <c r="K16" s="263"/>
      <c r="L16" s="231"/>
      <c r="M16" s="297"/>
      <c r="N16" s="217"/>
    </row>
    <row r="17" spans="1:14" ht="18" x14ac:dyDescent="0.3">
      <c r="A17" s="624"/>
      <c r="B17" s="182">
        <v>9</v>
      </c>
      <c r="C17" s="182">
        <v>9</v>
      </c>
      <c r="D17" s="182" t="s">
        <v>120</v>
      </c>
      <c r="E17" s="268">
        <v>1.55</v>
      </c>
      <c r="F17" s="267">
        <v>5</v>
      </c>
      <c r="G17" s="266">
        <f t="shared" si="0"/>
        <v>0.31</v>
      </c>
      <c r="H17" s="265">
        <f t="shared" si="1"/>
        <v>3.45</v>
      </c>
      <c r="I17" s="264"/>
      <c r="J17" s="610"/>
      <c r="K17" s="263"/>
      <c r="L17" s="231"/>
      <c r="M17" s="297"/>
      <c r="N17" s="217"/>
    </row>
    <row r="18" spans="1:14" ht="19" thickBot="1" x14ac:dyDescent="0.35">
      <c r="A18" s="624"/>
      <c r="B18" s="275">
        <v>10</v>
      </c>
      <c r="C18" s="275">
        <v>10</v>
      </c>
      <c r="D18" s="275" t="s">
        <v>119</v>
      </c>
      <c r="E18" s="274">
        <v>1.59</v>
      </c>
      <c r="F18" s="273">
        <v>5.2</v>
      </c>
      <c r="G18" s="272">
        <f t="shared" si="0"/>
        <v>0.30576923076923079</v>
      </c>
      <c r="H18" s="271">
        <f t="shared" si="1"/>
        <v>3.6100000000000003</v>
      </c>
      <c r="I18" s="270">
        <f>+I11+1.1</f>
        <v>5.5</v>
      </c>
      <c r="J18" s="619"/>
      <c r="K18" s="263"/>
      <c r="L18" s="231"/>
      <c r="M18" s="297"/>
      <c r="N18" s="217"/>
    </row>
    <row r="19" spans="1:14" ht="18" x14ac:dyDescent="0.3">
      <c r="A19" s="624"/>
      <c r="B19" s="182">
        <v>11</v>
      </c>
      <c r="C19" s="182">
        <v>11</v>
      </c>
      <c r="D19" s="182" t="s">
        <v>118</v>
      </c>
      <c r="E19" s="268">
        <v>1.83</v>
      </c>
      <c r="F19" s="267">
        <v>6.4</v>
      </c>
      <c r="G19" s="266">
        <f t="shared" si="0"/>
        <v>0.28593750000000001</v>
      </c>
      <c r="H19" s="265">
        <f t="shared" si="1"/>
        <v>4.57</v>
      </c>
      <c r="I19" s="264">
        <f>+I18+0.01</f>
        <v>5.51</v>
      </c>
      <c r="J19" s="609">
        <f>2/12</f>
        <v>0.16666666666666666</v>
      </c>
      <c r="K19" s="269"/>
      <c r="L19" s="231"/>
      <c r="M19" s="297"/>
      <c r="N19" s="217"/>
    </row>
    <row r="20" spans="1:14" ht="18" x14ac:dyDescent="0.3">
      <c r="A20" s="624"/>
      <c r="B20" s="182">
        <v>12</v>
      </c>
      <c r="C20" s="182">
        <v>12</v>
      </c>
      <c r="D20" s="182" t="s">
        <v>117</v>
      </c>
      <c r="E20" s="268">
        <v>1.87</v>
      </c>
      <c r="F20" s="267">
        <v>6.6</v>
      </c>
      <c r="G20" s="266">
        <f t="shared" si="0"/>
        <v>0.28333333333333338</v>
      </c>
      <c r="H20" s="265">
        <f t="shared" si="1"/>
        <v>4.7299999999999995</v>
      </c>
      <c r="I20" s="264">
        <f>F20</f>
        <v>6.6</v>
      </c>
      <c r="J20" s="610"/>
      <c r="K20" s="263"/>
      <c r="L20" s="231"/>
      <c r="M20" s="297"/>
      <c r="N20" s="217"/>
    </row>
    <row r="21" spans="1:14" ht="19" x14ac:dyDescent="0.35">
      <c r="A21" s="624"/>
      <c r="B21" s="182"/>
      <c r="C21" s="182"/>
      <c r="D21" s="241" t="s">
        <v>116</v>
      </c>
      <c r="E21" s="262">
        <f>SUM(E9:E20)/C20</f>
        <v>1.4816666666666667</v>
      </c>
      <c r="F21" s="240">
        <f>SUM(F9:F20)/C20</f>
        <v>4.8166666666666673</v>
      </c>
      <c r="G21" s="277">
        <f t="shared" si="0"/>
        <v>0.30761245674740478</v>
      </c>
      <c r="H21" s="260">
        <f t="shared" si="1"/>
        <v>3.3350000000000009</v>
      </c>
      <c r="I21" s="259"/>
      <c r="J21" s="182"/>
      <c r="K21" s="182"/>
      <c r="L21" s="291">
        <v>1</v>
      </c>
      <c r="M21" s="300" t="s">
        <v>1</v>
      </c>
      <c r="N21" s="217"/>
    </row>
    <row r="22" spans="1:14" ht="18" x14ac:dyDescent="0.3">
      <c r="A22" s="624"/>
      <c r="B22" s="182" t="s">
        <v>1</v>
      </c>
      <c r="C22" s="182"/>
      <c r="D22" s="182"/>
      <c r="E22" s="245"/>
      <c r="F22" s="245"/>
      <c r="G22" s="266"/>
      <c r="H22" s="243"/>
      <c r="I22" s="264"/>
      <c r="J22" s="182"/>
      <c r="K22" s="182"/>
      <c r="L22" s="231"/>
      <c r="M22" s="297"/>
      <c r="N22" s="217"/>
    </row>
    <row r="23" spans="1:14" ht="18" x14ac:dyDescent="0.3">
      <c r="A23" s="624"/>
      <c r="B23" s="182"/>
      <c r="C23" s="182"/>
      <c r="D23" s="241" t="s">
        <v>115</v>
      </c>
      <c r="E23" s="245"/>
      <c r="F23" s="245"/>
      <c r="G23" s="266"/>
      <c r="H23" s="243"/>
      <c r="I23" s="264"/>
      <c r="J23" s="182"/>
      <c r="K23" s="182"/>
      <c r="L23" s="231"/>
      <c r="M23" s="297"/>
      <c r="N23" s="217"/>
    </row>
    <row r="24" spans="1:14" ht="18" x14ac:dyDescent="0.3">
      <c r="A24" s="624"/>
      <c r="B24" s="182">
        <v>13</v>
      </c>
      <c r="C24" s="182">
        <v>1</v>
      </c>
      <c r="D24" s="182" t="s">
        <v>114</v>
      </c>
      <c r="E24" s="268">
        <f>1.14*2</f>
        <v>2.2799999999999998</v>
      </c>
      <c r="F24" s="267">
        <f>3.3*2</f>
        <v>6.6</v>
      </c>
      <c r="G24" s="266">
        <f t="shared" ref="G24:G36" si="2">E24/F24</f>
        <v>0.34545454545454546</v>
      </c>
      <c r="H24" s="265">
        <f t="shared" ref="H24:H36" si="3">F24-E24</f>
        <v>4.32</v>
      </c>
      <c r="I24" s="264">
        <f>F24</f>
        <v>6.6</v>
      </c>
      <c r="J24" s="618">
        <f>3/12</f>
        <v>0.25</v>
      </c>
      <c r="K24" s="269"/>
      <c r="L24" s="231"/>
      <c r="M24" s="297"/>
      <c r="N24" s="217"/>
    </row>
    <row r="25" spans="1:14" ht="18" x14ac:dyDescent="0.3">
      <c r="A25" s="624"/>
      <c r="B25" s="182">
        <v>14</v>
      </c>
      <c r="C25" s="182">
        <v>2</v>
      </c>
      <c r="D25" s="182" t="s">
        <v>113</v>
      </c>
      <c r="E25" s="268">
        <f>1.33*2</f>
        <v>2.66</v>
      </c>
      <c r="F25" s="267">
        <f>3.8*2</f>
        <v>7.6</v>
      </c>
      <c r="G25" s="266">
        <f t="shared" si="2"/>
        <v>0.35000000000000003</v>
      </c>
      <c r="H25" s="265">
        <f t="shared" si="3"/>
        <v>4.9399999999999995</v>
      </c>
      <c r="I25" s="264"/>
      <c r="J25" s="610"/>
      <c r="K25" s="263"/>
      <c r="L25" s="231"/>
      <c r="M25" s="297"/>
      <c r="N25" s="217"/>
    </row>
    <row r="26" spans="1:14" ht="19" thickBot="1" x14ac:dyDescent="0.35">
      <c r="A26" s="624"/>
      <c r="B26" s="275">
        <v>15</v>
      </c>
      <c r="C26" s="275">
        <v>3</v>
      </c>
      <c r="D26" s="275" t="s">
        <v>112</v>
      </c>
      <c r="E26" s="274">
        <f>1.37*2</f>
        <v>2.74</v>
      </c>
      <c r="F26" s="273">
        <f>4*2</f>
        <v>8</v>
      </c>
      <c r="G26" s="272">
        <f t="shared" si="2"/>
        <v>0.34250000000000003</v>
      </c>
      <c r="H26" s="271">
        <f t="shared" si="3"/>
        <v>5.26</v>
      </c>
      <c r="I26" s="270">
        <f>+I24+2.2</f>
        <v>8.8000000000000007</v>
      </c>
      <c r="J26" s="619"/>
      <c r="K26" s="263"/>
      <c r="L26" s="231"/>
      <c r="M26" s="297"/>
      <c r="N26" s="217"/>
    </row>
    <row r="27" spans="1:14" ht="18" x14ac:dyDescent="0.3">
      <c r="A27" s="624"/>
      <c r="B27" s="182">
        <v>16</v>
      </c>
      <c r="C27" s="182">
        <v>4</v>
      </c>
      <c r="D27" s="182" t="s">
        <v>111</v>
      </c>
      <c r="E27" s="268">
        <f>1.36*2</f>
        <v>2.72</v>
      </c>
      <c r="F27" s="267">
        <f>4.5*2</f>
        <v>9</v>
      </c>
      <c r="G27" s="266">
        <f t="shared" si="2"/>
        <v>0.30222222222222223</v>
      </c>
      <c r="H27" s="265">
        <f t="shared" si="3"/>
        <v>6.2799999999999994</v>
      </c>
      <c r="I27" s="264">
        <f>+I26+0.01</f>
        <v>8.81</v>
      </c>
      <c r="J27" s="609">
        <f>7/12</f>
        <v>0.58333333333333337</v>
      </c>
      <c r="K27" s="269"/>
      <c r="L27" s="231"/>
      <c r="M27" s="297"/>
      <c r="N27" s="217"/>
    </row>
    <row r="28" spans="1:14" ht="18" x14ac:dyDescent="0.3">
      <c r="A28" s="624"/>
      <c r="B28" s="182">
        <v>17</v>
      </c>
      <c r="C28" s="182">
        <v>5</v>
      </c>
      <c r="D28" s="182" t="s">
        <v>110</v>
      </c>
      <c r="E28" s="268">
        <f>1.38*2</f>
        <v>2.76</v>
      </c>
      <c r="F28" s="267">
        <f>4.6*2</f>
        <v>9.1999999999999993</v>
      </c>
      <c r="G28" s="266">
        <f t="shared" si="2"/>
        <v>0.3</v>
      </c>
      <c r="H28" s="265">
        <f t="shared" si="3"/>
        <v>6.4399999999999995</v>
      </c>
      <c r="I28" s="264"/>
      <c r="J28" s="610"/>
      <c r="K28" s="263"/>
      <c r="L28" s="231"/>
      <c r="M28" s="297"/>
      <c r="N28" s="217"/>
    </row>
    <row r="29" spans="1:14" ht="18" x14ac:dyDescent="0.3">
      <c r="A29" s="624"/>
      <c r="B29" s="182">
        <v>18</v>
      </c>
      <c r="C29" s="182">
        <v>6</v>
      </c>
      <c r="D29" s="182" t="s">
        <v>109</v>
      </c>
      <c r="E29" s="268">
        <f>1.4*2</f>
        <v>2.8</v>
      </c>
      <c r="F29" s="267">
        <f>4.7*2</f>
        <v>9.4</v>
      </c>
      <c r="G29" s="266">
        <f t="shared" si="2"/>
        <v>0.2978723404255319</v>
      </c>
      <c r="H29" s="265">
        <f t="shared" si="3"/>
        <v>6.6000000000000005</v>
      </c>
      <c r="I29" s="264"/>
      <c r="J29" s="610"/>
      <c r="K29" s="263"/>
      <c r="L29" s="231"/>
      <c r="M29" s="297"/>
      <c r="N29" s="217"/>
    </row>
    <row r="30" spans="1:14" ht="18" x14ac:dyDescent="0.3">
      <c r="A30" s="624"/>
      <c r="B30" s="182">
        <v>19</v>
      </c>
      <c r="C30" s="182">
        <v>7</v>
      </c>
      <c r="D30" s="182" t="s">
        <v>108</v>
      </c>
      <c r="E30" s="268">
        <f>1.41*2</f>
        <v>2.82</v>
      </c>
      <c r="F30" s="267">
        <f>4.8*2</f>
        <v>9.6</v>
      </c>
      <c r="G30" s="266">
        <f t="shared" si="2"/>
        <v>0.29375000000000001</v>
      </c>
      <c r="H30" s="265">
        <f t="shared" si="3"/>
        <v>6.7799999999999994</v>
      </c>
      <c r="I30" s="264"/>
      <c r="J30" s="610"/>
      <c r="K30" s="263"/>
      <c r="L30" s="231"/>
      <c r="M30" s="297"/>
      <c r="N30" s="217"/>
    </row>
    <row r="31" spans="1:14" ht="18" x14ac:dyDescent="0.3">
      <c r="A31" s="624"/>
      <c r="B31" s="182">
        <v>20</v>
      </c>
      <c r="C31" s="182">
        <v>8</v>
      </c>
      <c r="D31" s="182" t="s">
        <v>107</v>
      </c>
      <c r="E31" s="268">
        <f>1.43*2</f>
        <v>2.86</v>
      </c>
      <c r="F31" s="267">
        <f>4.9*2</f>
        <v>9.8000000000000007</v>
      </c>
      <c r="G31" s="266">
        <f t="shared" si="2"/>
        <v>0.2918367346938775</v>
      </c>
      <c r="H31" s="265">
        <f t="shared" si="3"/>
        <v>6.9400000000000013</v>
      </c>
      <c r="I31" s="264"/>
      <c r="J31" s="610"/>
      <c r="K31" s="263"/>
      <c r="L31" s="231"/>
      <c r="M31" s="297"/>
      <c r="N31" s="217"/>
    </row>
    <row r="32" spans="1:14" ht="18" x14ac:dyDescent="0.3">
      <c r="A32" s="624"/>
      <c r="B32" s="182">
        <v>21</v>
      </c>
      <c r="C32" s="182">
        <v>9</v>
      </c>
      <c r="D32" s="182" t="s">
        <v>106</v>
      </c>
      <c r="E32" s="268">
        <f>1.45*2</f>
        <v>2.9</v>
      </c>
      <c r="F32" s="267">
        <f>5*2</f>
        <v>10</v>
      </c>
      <c r="G32" s="266">
        <f t="shared" si="2"/>
        <v>0.28999999999999998</v>
      </c>
      <c r="H32" s="265">
        <f t="shared" si="3"/>
        <v>7.1</v>
      </c>
      <c r="I32" s="264"/>
      <c r="J32" s="610"/>
      <c r="K32" s="263"/>
      <c r="L32" s="231"/>
      <c r="M32" s="297"/>
      <c r="N32" s="217"/>
    </row>
    <row r="33" spans="1:20" ht="19" thickBot="1" x14ac:dyDescent="0.35">
      <c r="A33" s="624"/>
      <c r="B33" s="275">
        <v>22</v>
      </c>
      <c r="C33" s="275">
        <v>10</v>
      </c>
      <c r="D33" s="275" t="s">
        <v>105</v>
      </c>
      <c r="E33" s="274">
        <f>1.49*2</f>
        <v>2.98</v>
      </c>
      <c r="F33" s="273">
        <f>5.2*2</f>
        <v>10.4</v>
      </c>
      <c r="G33" s="272">
        <f t="shared" si="2"/>
        <v>0.28653846153846152</v>
      </c>
      <c r="H33" s="271">
        <f t="shared" si="3"/>
        <v>7.42</v>
      </c>
      <c r="I33" s="270">
        <f>+I26+2.2</f>
        <v>11</v>
      </c>
      <c r="J33" s="619"/>
      <c r="K33" s="263"/>
      <c r="L33" s="231"/>
      <c r="M33" s="297"/>
      <c r="N33" s="217"/>
    </row>
    <row r="34" spans="1:20" ht="18" x14ac:dyDescent="0.3">
      <c r="A34" s="624"/>
      <c r="B34" s="182">
        <v>23</v>
      </c>
      <c r="C34" s="182">
        <v>11</v>
      </c>
      <c r="D34" s="182" t="s">
        <v>104</v>
      </c>
      <c r="E34" s="268">
        <f>1.59*2</f>
        <v>3.18</v>
      </c>
      <c r="F34" s="267">
        <f>5.8*2</f>
        <v>11.6</v>
      </c>
      <c r="G34" s="266">
        <f t="shared" si="2"/>
        <v>0.27413793103448281</v>
      </c>
      <c r="H34" s="265">
        <f t="shared" si="3"/>
        <v>8.42</v>
      </c>
      <c r="I34" s="264">
        <f>+I33+0.01</f>
        <v>11.01</v>
      </c>
      <c r="J34" s="609">
        <f>2/12</f>
        <v>0.16666666666666666</v>
      </c>
      <c r="K34" s="269"/>
      <c r="L34" s="231"/>
      <c r="M34" s="297"/>
      <c r="N34" s="217"/>
    </row>
    <row r="35" spans="1:20" ht="18" x14ac:dyDescent="0.3">
      <c r="A35" s="624"/>
      <c r="B35" s="182">
        <v>24</v>
      </c>
      <c r="C35" s="182">
        <v>12</v>
      </c>
      <c r="D35" s="182" t="s">
        <v>103</v>
      </c>
      <c r="E35" s="268">
        <f>1.74*2</f>
        <v>3.48</v>
      </c>
      <c r="F35" s="267">
        <f>6.6*2</f>
        <v>13.2</v>
      </c>
      <c r="G35" s="266">
        <f t="shared" si="2"/>
        <v>0.26363636363636367</v>
      </c>
      <c r="H35" s="265">
        <f t="shared" si="3"/>
        <v>9.7199999999999989</v>
      </c>
      <c r="I35" s="264">
        <f>F35</f>
        <v>13.2</v>
      </c>
      <c r="J35" s="610"/>
      <c r="K35" s="263"/>
      <c r="L35" s="231"/>
      <c r="M35" s="297"/>
      <c r="N35" s="217"/>
    </row>
    <row r="36" spans="1:20" ht="19" x14ac:dyDescent="0.35">
      <c r="A36" s="624"/>
      <c r="B36" s="182"/>
      <c r="C36" s="182"/>
      <c r="D36" s="241" t="s">
        <v>102</v>
      </c>
      <c r="E36" s="262">
        <f>SUM(E24:E35)/C35</f>
        <v>2.8483333333333332</v>
      </c>
      <c r="F36" s="262">
        <f>SUM(F24:F35)/C35</f>
        <v>9.5333333333333332</v>
      </c>
      <c r="G36" s="261">
        <f t="shared" si="2"/>
        <v>0.29877622377622376</v>
      </c>
      <c r="H36" s="260">
        <f t="shared" si="3"/>
        <v>6.6850000000000005</v>
      </c>
      <c r="I36" s="259"/>
      <c r="J36" s="182"/>
      <c r="K36" s="182"/>
      <c r="L36" s="298">
        <f>'[1]Formule pour le calcul D'!AH10</f>
        <v>1</v>
      </c>
      <c r="M36" s="230" t="s">
        <v>1</v>
      </c>
      <c r="N36" s="217"/>
    </row>
    <row r="37" spans="1:20" ht="19" thickBot="1" x14ac:dyDescent="0.35">
      <c r="A37" s="624"/>
      <c r="B37" s="182"/>
      <c r="C37" s="182"/>
      <c r="D37" s="182"/>
      <c r="E37" s="245"/>
      <c r="F37" s="245"/>
      <c r="G37" s="244"/>
      <c r="H37" s="243"/>
      <c r="I37" s="182"/>
      <c r="J37" s="182"/>
      <c r="K37" s="182"/>
      <c r="L37" s="231"/>
      <c r="M37" s="297"/>
      <c r="N37" s="217"/>
    </row>
    <row r="38" spans="1:20" ht="21" thickTop="1" thickBot="1" x14ac:dyDescent="0.4">
      <c r="A38" s="624"/>
      <c r="B38" s="182"/>
      <c r="C38" s="256"/>
      <c r="D38" s="255"/>
      <c r="E38" s="254"/>
      <c r="F38" s="254"/>
      <c r="G38" s="253"/>
      <c r="H38" s="252"/>
      <c r="I38" s="251"/>
      <c r="J38" s="182"/>
      <c r="K38" s="182"/>
      <c r="L38" s="231"/>
      <c r="M38" s="297"/>
      <c r="N38" s="217"/>
      <c r="P38" s="295"/>
      <c r="Q38" s="295"/>
      <c r="R38" s="295"/>
      <c r="S38" s="295"/>
      <c r="T38" s="295"/>
    </row>
    <row r="39" spans="1:20" ht="20" thickTop="1" thickBot="1" x14ac:dyDescent="0.35">
      <c r="A39" s="624"/>
      <c r="B39" s="182"/>
      <c r="C39" s="236"/>
      <c r="D39" s="241"/>
      <c r="E39" s="250" t="s">
        <v>60</v>
      </c>
      <c r="F39" s="250" t="s">
        <v>57</v>
      </c>
      <c r="G39" s="249" t="s">
        <v>101</v>
      </c>
      <c r="H39" s="248" t="s">
        <v>62</v>
      </c>
      <c r="I39" s="247"/>
      <c r="J39" s="182"/>
      <c r="K39" s="182"/>
      <c r="L39" s="231"/>
      <c r="M39" s="297"/>
      <c r="N39" s="217"/>
      <c r="P39" s="295"/>
      <c r="Q39" s="295"/>
      <c r="R39" s="295"/>
      <c r="S39" s="295"/>
      <c r="T39" s="295"/>
    </row>
    <row r="40" spans="1:20" ht="19" thickTop="1" x14ac:dyDescent="0.3">
      <c r="A40" s="624"/>
      <c r="B40" s="182"/>
      <c r="C40" s="236"/>
      <c r="D40" s="246" t="s">
        <v>100</v>
      </c>
      <c r="E40" s="245"/>
      <c r="F40" s="245"/>
      <c r="G40" s="244"/>
      <c r="H40" s="243"/>
      <c r="I40" s="242"/>
      <c r="J40" s="182"/>
      <c r="K40" s="182"/>
      <c r="L40" s="231"/>
      <c r="M40" s="297"/>
      <c r="N40" s="217"/>
      <c r="P40" s="295"/>
      <c r="Q40" s="295"/>
      <c r="R40" s="295"/>
      <c r="S40" s="295"/>
      <c r="T40" s="295"/>
    </row>
    <row r="41" spans="1:20" ht="19" x14ac:dyDescent="0.35">
      <c r="A41" s="624"/>
      <c r="B41" s="182"/>
      <c r="C41" s="236"/>
      <c r="D41" s="241" t="s">
        <v>99</v>
      </c>
      <c r="E41" s="240">
        <f>+(E9+E10+E11+E12+E13+E14+E15+E16+E17+E18+E19+E20+E24+E25+E26+E27+E28+E29+E30+E31+E32+E33+E34+E35)/B35</f>
        <v>2.1649999999999996</v>
      </c>
      <c r="F41" s="240">
        <f>+(F9+F10+F11+F12+F13+F14+F15+F16+F17+F18+F19+F20+F24+F25+F26+F27+F28+F29+F30+F31+F32+F33+F34+F35)/B35</f>
        <v>7.1749999999999998</v>
      </c>
      <c r="G41" s="239">
        <f>E41/F41</f>
        <v>0.30174216027874562</v>
      </c>
      <c r="H41" s="238">
        <f>F41-E41</f>
        <v>5.01</v>
      </c>
      <c r="I41" s="237"/>
      <c r="J41" s="182"/>
      <c r="K41" s="182"/>
      <c r="L41" s="231">
        <f>+L21+L36</f>
        <v>2</v>
      </c>
      <c r="M41" s="230">
        <f>'% Occupation'!D19</f>
        <v>196</v>
      </c>
      <c r="N41" s="217"/>
      <c r="P41" s="295"/>
      <c r="Q41" s="295"/>
      <c r="R41" s="295"/>
      <c r="S41" s="295"/>
      <c r="T41" s="295"/>
    </row>
    <row r="42" spans="1:20" ht="18" x14ac:dyDescent="0.3">
      <c r="A42" s="624"/>
      <c r="B42" s="182"/>
      <c r="C42" s="236"/>
      <c r="D42" s="182"/>
      <c r="E42" s="235"/>
      <c r="F42" s="235"/>
      <c r="G42" s="234"/>
      <c r="H42" s="233"/>
      <c r="I42" s="232"/>
      <c r="J42" s="182"/>
      <c r="K42" s="182"/>
      <c r="L42" s="231"/>
      <c r="M42" s="297"/>
      <c r="N42" s="217"/>
      <c r="P42" s="295"/>
      <c r="Q42" s="295"/>
      <c r="R42" s="295"/>
      <c r="S42" s="295"/>
      <c r="T42" s="295"/>
    </row>
    <row r="43" spans="1:20" ht="19" thickBot="1" x14ac:dyDescent="0.35">
      <c r="A43" s="624"/>
      <c r="B43" s="182"/>
      <c r="C43" s="229"/>
      <c r="D43" s="228"/>
      <c r="E43" s="227"/>
      <c r="F43" s="227"/>
      <c r="G43" s="226"/>
      <c r="H43" s="225"/>
      <c r="I43" s="224"/>
      <c r="J43" s="182"/>
      <c r="K43" s="182"/>
      <c r="L43" s="223"/>
      <c r="M43" s="296"/>
      <c r="N43" s="217"/>
      <c r="P43" s="295"/>
      <c r="Q43" s="295"/>
      <c r="R43" s="295"/>
      <c r="S43" s="295"/>
      <c r="T43" s="295"/>
    </row>
    <row r="44" spans="1:20" ht="19" thickTop="1" x14ac:dyDescent="0.3">
      <c r="A44" s="624"/>
      <c r="B44" s="182"/>
      <c r="C44" s="182"/>
      <c r="D44" s="182"/>
      <c r="E44" s="182"/>
      <c r="F44" s="182" t="s">
        <v>1</v>
      </c>
      <c r="G44" s="182"/>
      <c r="H44" s="182"/>
      <c r="I44" s="182"/>
      <c r="J44" s="182"/>
      <c r="K44" s="182"/>
      <c r="L44" s="289"/>
      <c r="M44" s="288"/>
      <c r="N44" s="217"/>
      <c r="P44" s="295"/>
      <c r="Q44" s="295"/>
      <c r="R44" s="295"/>
      <c r="S44" s="295"/>
      <c r="T44" s="295"/>
    </row>
    <row r="45" spans="1:20" ht="23" x14ac:dyDescent="0.3">
      <c r="A45" s="624"/>
      <c r="D45" s="287" t="s">
        <v>98</v>
      </c>
      <c r="F45" s="283"/>
      <c r="L45" s="289"/>
      <c r="M45" s="288"/>
      <c r="N45" s="217"/>
      <c r="P45" s="295"/>
      <c r="Q45" s="295"/>
      <c r="R45" s="295"/>
      <c r="S45" s="295"/>
      <c r="T45" s="295"/>
    </row>
    <row r="46" spans="1:20" ht="24" thickBot="1" x14ac:dyDescent="0.35">
      <c r="A46" s="624"/>
      <c r="D46" s="285"/>
      <c r="L46" s="289"/>
      <c r="M46" s="288"/>
      <c r="N46" s="217"/>
    </row>
    <row r="47" spans="1:20" ht="23" customHeight="1" thickTop="1" x14ac:dyDescent="0.25">
      <c r="A47" s="624"/>
      <c r="D47" s="285"/>
      <c r="E47" s="604" t="str">
        <f>E4</f>
        <v>Coûts des ressources alimentaires pour chaque produit offert (voir recettes standardisées)</v>
      </c>
      <c r="F47" s="604" t="str">
        <f>F4</f>
        <v>Prix de vente par produit offert</v>
      </c>
      <c r="G47" s="604" t="str">
        <f>G4</f>
        <v xml:space="preserve">« Food &amp; Beverage Cost » </v>
      </c>
      <c r="H47" s="604" t="str">
        <f>+H4</f>
        <v>Marge brute gagnée sur la vente de chaque produit offert</v>
      </c>
      <c r="I47" s="286"/>
      <c r="L47" s="613" t="s">
        <v>84</v>
      </c>
      <c r="M47" s="613" t="s">
        <v>83</v>
      </c>
      <c r="N47" s="217"/>
    </row>
    <row r="48" spans="1:20" ht="22" x14ac:dyDescent="0.25">
      <c r="A48" s="624"/>
      <c r="D48" s="285"/>
      <c r="E48" s="605"/>
      <c r="F48" s="607"/>
      <c r="G48" s="607"/>
      <c r="H48" s="607"/>
      <c r="I48" s="284"/>
      <c r="L48" s="614"/>
      <c r="M48" s="616"/>
      <c r="N48" s="217"/>
    </row>
    <row r="49" spans="1:14" ht="14" customHeight="1" thickBot="1" x14ac:dyDescent="0.25">
      <c r="A49" s="624"/>
      <c r="E49" s="606"/>
      <c r="F49" s="608"/>
      <c r="G49" s="608"/>
      <c r="H49" s="608"/>
      <c r="I49" s="284"/>
      <c r="L49" s="615"/>
      <c r="M49" s="617"/>
      <c r="N49" s="217"/>
    </row>
    <row r="50" spans="1:14" ht="20" thickTop="1" thickBot="1" x14ac:dyDescent="0.35">
      <c r="A50" s="624"/>
      <c r="B50" s="149" t="s">
        <v>1</v>
      </c>
      <c r="E50" s="283"/>
      <c r="F50" s="283"/>
      <c r="G50" s="282"/>
      <c r="L50" s="289"/>
      <c r="M50" s="288"/>
      <c r="N50" s="217"/>
    </row>
    <row r="51" spans="1:14" ht="19" thickTop="1" x14ac:dyDescent="0.3">
      <c r="A51" s="624"/>
      <c r="B51" s="182"/>
      <c r="C51" s="182"/>
      <c r="D51" s="241" t="str">
        <f t="shared" ref="D51:D64" si="4">D8</f>
        <v>Les Petite Gâteries</v>
      </c>
      <c r="E51" s="264"/>
      <c r="F51" s="264"/>
      <c r="G51" s="244"/>
      <c r="H51" s="182"/>
      <c r="I51" s="182"/>
      <c r="J51" s="182"/>
      <c r="K51" s="182"/>
      <c r="L51" s="281"/>
      <c r="M51" s="280"/>
      <c r="N51" s="217"/>
    </row>
    <row r="52" spans="1:14" ht="18" x14ac:dyDescent="0.3">
      <c r="A52" s="624"/>
      <c r="B52" s="182">
        <f t="shared" ref="B52:C63" si="5">B9</f>
        <v>1</v>
      </c>
      <c r="C52" s="182">
        <f t="shared" si="5"/>
        <v>1</v>
      </c>
      <c r="D52" s="182" t="str">
        <f t="shared" si="4"/>
        <v>Petite Gâterie 1</v>
      </c>
      <c r="E52" s="268">
        <f t="shared" ref="E52:F63" si="6">E9</f>
        <v>1.21</v>
      </c>
      <c r="F52" s="276">
        <f t="shared" si="6"/>
        <v>3.3</v>
      </c>
      <c r="G52" s="266">
        <f t="shared" ref="G52:G64" si="7">E52/F52</f>
        <v>0.3666666666666667</v>
      </c>
      <c r="H52" s="265">
        <f t="shared" ref="H52:H64" si="8">F52-E52</f>
        <v>2.09</v>
      </c>
      <c r="I52" s="264"/>
      <c r="J52" s="182"/>
      <c r="K52" s="182"/>
      <c r="L52" s="279"/>
      <c r="M52" s="230"/>
      <c r="N52" s="217"/>
    </row>
    <row r="53" spans="1:14" ht="18" x14ac:dyDescent="0.3">
      <c r="A53" s="624"/>
      <c r="B53" s="182">
        <f t="shared" si="5"/>
        <v>2</v>
      </c>
      <c r="C53" s="182">
        <f t="shared" si="5"/>
        <v>2</v>
      </c>
      <c r="D53" s="182" t="str">
        <f t="shared" si="4"/>
        <v>Petite Gâterie 2</v>
      </c>
      <c r="E53" s="268">
        <f t="shared" si="6"/>
        <v>1.31</v>
      </c>
      <c r="F53" s="267">
        <f t="shared" si="6"/>
        <v>3.8</v>
      </c>
      <c r="G53" s="266">
        <f t="shared" si="7"/>
        <v>0.34473684210526317</v>
      </c>
      <c r="H53" s="265">
        <f t="shared" si="8"/>
        <v>2.4899999999999998</v>
      </c>
      <c r="I53" s="264"/>
      <c r="J53" s="182"/>
      <c r="K53" s="182"/>
      <c r="L53" s="231"/>
      <c r="M53" s="230"/>
      <c r="N53" s="217"/>
    </row>
    <row r="54" spans="1:14" ht="18" x14ac:dyDescent="0.3">
      <c r="A54" s="624"/>
      <c r="B54" s="182">
        <f t="shared" si="5"/>
        <v>3</v>
      </c>
      <c r="C54" s="182">
        <f t="shared" si="5"/>
        <v>3</v>
      </c>
      <c r="D54" s="182" t="str">
        <f t="shared" si="4"/>
        <v>Petite Gâterie 3</v>
      </c>
      <c r="E54" s="268">
        <f t="shared" si="6"/>
        <v>1.35</v>
      </c>
      <c r="F54" s="267">
        <f t="shared" si="6"/>
        <v>4</v>
      </c>
      <c r="G54" s="266">
        <f t="shared" si="7"/>
        <v>0.33750000000000002</v>
      </c>
      <c r="H54" s="265">
        <f t="shared" si="8"/>
        <v>2.65</v>
      </c>
      <c r="I54" s="264"/>
      <c r="J54" s="182"/>
      <c r="K54" s="182"/>
      <c r="L54" s="231"/>
      <c r="M54" s="230"/>
      <c r="N54" s="217"/>
    </row>
    <row r="55" spans="1:14" ht="18" x14ac:dyDescent="0.3">
      <c r="A55" s="624"/>
      <c r="B55" s="182">
        <f t="shared" si="5"/>
        <v>4</v>
      </c>
      <c r="C55" s="182">
        <f t="shared" si="5"/>
        <v>4</v>
      </c>
      <c r="D55" s="182" t="str">
        <f t="shared" si="4"/>
        <v>Petite Gâterie 4</v>
      </c>
      <c r="E55" s="268">
        <f t="shared" si="6"/>
        <v>1.4</v>
      </c>
      <c r="F55" s="267">
        <f t="shared" si="6"/>
        <v>4.5</v>
      </c>
      <c r="G55" s="266">
        <f t="shared" si="7"/>
        <v>0.31111111111111112</v>
      </c>
      <c r="H55" s="265">
        <f t="shared" si="8"/>
        <v>3.1</v>
      </c>
      <c r="I55" s="264"/>
      <c r="J55" s="182"/>
      <c r="K55" s="182"/>
      <c r="L55" s="231"/>
      <c r="M55" s="230"/>
      <c r="N55" s="217"/>
    </row>
    <row r="56" spans="1:14" ht="18" x14ac:dyDescent="0.3">
      <c r="A56" s="624"/>
      <c r="B56" s="182">
        <f t="shared" si="5"/>
        <v>5</v>
      </c>
      <c r="C56" s="182">
        <f t="shared" si="5"/>
        <v>5</v>
      </c>
      <c r="D56" s="182" t="str">
        <f t="shared" si="4"/>
        <v>Petite Gâterie 5</v>
      </c>
      <c r="E56" s="268">
        <f t="shared" si="6"/>
        <v>1.24</v>
      </c>
      <c r="F56" s="267">
        <f t="shared" si="6"/>
        <v>4.5999999999999996</v>
      </c>
      <c r="G56" s="266">
        <f t="shared" si="7"/>
        <v>0.26956521739130435</v>
      </c>
      <c r="H56" s="265">
        <f t="shared" si="8"/>
        <v>3.3599999999999994</v>
      </c>
      <c r="I56" s="264"/>
      <c r="J56" s="182"/>
      <c r="K56" s="182"/>
      <c r="L56" s="231"/>
      <c r="M56" s="230"/>
      <c r="N56" s="217"/>
    </row>
    <row r="57" spans="1:14" ht="18" x14ac:dyDescent="0.3">
      <c r="A57" s="624"/>
      <c r="B57" s="182">
        <f t="shared" si="5"/>
        <v>6</v>
      </c>
      <c r="C57" s="182">
        <f t="shared" si="5"/>
        <v>6</v>
      </c>
      <c r="D57" s="182" t="str">
        <f t="shared" si="4"/>
        <v>Petite Gâterie 6</v>
      </c>
      <c r="E57" s="268">
        <f t="shared" si="6"/>
        <v>1.39</v>
      </c>
      <c r="F57" s="267">
        <f t="shared" si="6"/>
        <v>4.7</v>
      </c>
      <c r="G57" s="266">
        <f t="shared" si="7"/>
        <v>0.29574468085106381</v>
      </c>
      <c r="H57" s="265">
        <f t="shared" si="8"/>
        <v>3.3100000000000005</v>
      </c>
      <c r="I57" s="264"/>
      <c r="J57" s="182"/>
      <c r="K57" s="182"/>
      <c r="L57" s="231"/>
      <c r="M57" s="230"/>
      <c r="N57" s="217"/>
    </row>
    <row r="58" spans="1:14" ht="18" x14ac:dyDescent="0.3">
      <c r="A58" s="624"/>
      <c r="B58" s="182">
        <f t="shared" si="5"/>
        <v>7</v>
      </c>
      <c r="C58" s="182">
        <f t="shared" si="5"/>
        <v>7</v>
      </c>
      <c r="D58" s="182" t="str">
        <f t="shared" si="4"/>
        <v>Petite Gâterie 7</v>
      </c>
      <c r="E58" s="268">
        <f t="shared" si="6"/>
        <v>1.51</v>
      </c>
      <c r="F58" s="267">
        <f t="shared" si="6"/>
        <v>4.8</v>
      </c>
      <c r="G58" s="266">
        <f t="shared" si="7"/>
        <v>0.31458333333333333</v>
      </c>
      <c r="H58" s="265">
        <f t="shared" si="8"/>
        <v>3.29</v>
      </c>
      <c r="I58" s="264"/>
      <c r="J58" s="182"/>
      <c r="K58" s="182"/>
      <c r="L58" s="231"/>
      <c r="M58" s="230"/>
      <c r="N58" s="217"/>
    </row>
    <row r="59" spans="1:14" ht="18" x14ac:dyDescent="0.3">
      <c r="A59" s="624"/>
      <c r="B59" s="182">
        <f t="shared" si="5"/>
        <v>8</v>
      </c>
      <c r="C59" s="182">
        <f t="shared" si="5"/>
        <v>8</v>
      </c>
      <c r="D59" s="182" t="str">
        <f t="shared" si="4"/>
        <v>Petite Gâterie 8</v>
      </c>
      <c r="E59" s="268">
        <f t="shared" si="6"/>
        <v>1.53</v>
      </c>
      <c r="F59" s="267">
        <f t="shared" si="6"/>
        <v>4.9000000000000004</v>
      </c>
      <c r="G59" s="266">
        <f t="shared" si="7"/>
        <v>0.31224489795918364</v>
      </c>
      <c r="H59" s="265">
        <f t="shared" si="8"/>
        <v>3.37</v>
      </c>
      <c r="I59" s="264"/>
      <c r="J59" s="182"/>
      <c r="K59" s="182"/>
      <c r="L59" s="231"/>
      <c r="M59" s="230"/>
      <c r="N59" s="217"/>
    </row>
    <row r="60" spans="1:14" ht="18" x14ac:dyDescent="0.3">
      <c r="A60" s="624"/>
      <c r="B60" s="182">
        <f t="shared" si="5"/>
        <v>9</v>
      </c>
      <c r="C60" s="182">
        <f t="shared" si="5"/>
        <v>9</v>
      </c>
      <c r="D60" s="182" t="str">
        <f t="shared" si="4"/>
        <v>Petite Gâterie 9</v>
      </c>
      <c r="E60" s="268">
        <f t="shared" si="6"/>
        <v>1.55</v>
      </c>
      <c r="F60" s="267">
        <f t="shared" si="6"/>
        <v>5</v>
      </c>
      <c r="G60" s="266">
        <f t="shared" si="7"/>
        <v>0.31</v>
      </c>
      <c r="H60" s="265">
        <f t="shared" si="8"/>
        <v>3.45</v>
      </c>
      <c r="I60" s="264"/>
      <c r="J60" s="182"/>
      <c r="K60" s="182"/>
      <c r="L60" s="231"/>
      <c r="M60" s="230"/>
      <c r="N60" s="217"/>
    </row>
    <row r="61" spans="1:14" ht="18" x14ac:dyDescent="0.3">
      <c r="A61" s="624"/>
      <c r="B61" s="182">
        <f t="shared" si="5"/>
        <v>10</v>
      </c>
      <c r="C61" s="182">
        <f t="shared" si="5"/>
        <v>10</v>
      </c>
      <c r="D61" s="182" t="str">
        <f t="shared" si="4"/>
        <v>Petite Gâterie 10</v>
      </c>
      <c r="E61" s="268">
        <f t="shared" si="6"/>
        <v>1.59</v>
      </c>
      <c r="F61" s="267">
        <f t="shared" si="6"/>
        <v>5.2</v>
      </c>
      <c r="G61" s="266">
        <f t="shared" si="7"/>
        <v>0.30576923076923079</v>
      </c>
      <c r="H61" s="265">
        <f t="shared" si="8"/>
        <v>3.6100000000000003</v>
      </c>
      <c r="I61" s="264"/>
      <c r="J61" s="182"/>
      <c r="K61" s="182"/>
      <c r="L61" s="231"/>
      <c r="M61" s="230"/>
      <c r="N61" s="217"/>
    </row>
    <row r="62" spans="1:14" ht="18" x14ac:dyDescent="0.3">
      <c r="A62" s="624"/>
      <c r="B62" s="182">
        <f t="shared" si="5"/>
        <v>11</v>
      </c>
      <c r="C62" s="182">
        <f t="shared" si="5"/>
        <v>11</v>
      </c>
      <c r="D62" s="182" t="str">
        <f t="shared" si="4"/>
        <v>Petite Gâterie 11</v>
      </c>
      <c r="E62" s="268">
        <f t="shared" si="6"/>
        <v>1.83</v>
      </c>
      <c r="F62" s="267">
        <f t="shared" si="6"/>
        <v>6.4</v>
      </c>
      <c r="G62" s="266">
        <f t="shared" si="7"/>
        <v>0.28593750000000001</v>
      </c>
      <c r="H62" s="265">
        <f t="shared" si="8"/>
        <v>4.57</v>
      </c>
      <c r="I62" s="264"/>
      <c r="J62" s="182"/>
      <c r="K62" s="182"/>
      <c r="L62" s="231"/>
      <c r="M62" s="230"/>
      <c r="N62" s="217"/>
    </row>
    <row r="63" spans="1:14" ht="18" x14ac:dyDescent="0.3">
      <c r="A63" s="624"/>
      <c r="B63" s="182">
        <f t="shared" si="5"/>
        <v>12</v>
      </c>
      <c r="C63" s="182">
        <f t="shared" si="5"/>
        <v>12</v>
      </c>
      <c r="D63" s="182" t="str">
        <f t="shared" si="4"/>
        <v>Petite Gâterie 12</v>
      </c>
      <c r="E63" s="268">
        <f t="shared" si="6"/>
        <v>1.87</v>
      </c>
      <c r="F63" s="267">
        <f t="shared" si="6"/>
        <v>6.6</v>
      </c>
      <c r="G63" s="266">
        <f t="shared" si="7"/>
        <v>0.28333333333333338</v>
      </c>
      <c r="H63" s="265">
        <f t="shared" si="8"/>
        <v>4.7299999999999995</v>
      </c>
      <c r="I63" s="264"/>
      <c r="J63" s="182"/>
      <c r="K63" s="182"/>
      <c r="L63" s="231"/>
      <c r="M63" s="230"/>
      <c r="N63" s="217"/>
    </row>
    <row r="64" spans="1:14" ht="19" x14ac:dyDescent="0.35">
      <c r="A64" s="624"/>
      <c r="B64" s="182"/>
      <c r="C64" s="182"/>
      <c r="D64" s="241" t="str">
        <f t="shared" si="4"/>
        <v>CmO—PmO—Food Cost—BmO</v>
      </c>
      <c r="E64" s="262">
        <f>SUM(E52:E63)/C63</f>
        <v>1.4816666666666667</v>
      </c>
      <c r="F64" s="262">
        <f>SUM(F52:F63)/C63</f>
        <v>4.8166666666666673</v>
      </c>
      <c r="G64" s="277">
        <f t="shared" si="7"/>
        <v>0.30761245674740478</v>
      </c>
      <c r="H64" s="260">
        <f t="shared" si="8"/>
        <v>3.3350000000000009</v>
      </c>
      <c r="I64" s="259"/>
      <c r="J64" s="182"/>
      <c r="K64" s="182"/>
      <c r="L64" s="291">
        <v>1</v>
      </c>
      <c r="M64" s="230" t="s">
        <v>1</v>
      </c>
      <c r="N64" s="217"/>
    </row>
    <row r="65" spans="1:14" ht="18" x14ac:dyDescent="0.3">
      <c r="A65" s="624"/>
      <c r="B65" s="182" t="s">
        <v>1</v>
      </c>
      <c r="C65" s="182"/>
      <c r="D65" s="182"/>
      <c r="E65" s="245"/>
      <c r="F65" s="245"/>
      <c r="G65" s="266"/>
      <c r="H65" s="243"/>
      <c r="I65" s="182"/>
      <c r="J65" s="182"/>
      <c r="K65" s="182"/>
      <c r="L65" s="231"/>
      <c r="M65" s="230"/>
      <c r="N65" s="217"/>
    </row>
    <row r="66" spans="1:14" ht="18" x14ac:dyDescent="0.3">
      <c r="A66" s="624"/>
      <c r="B66" s="182"/>
      <c r="C66" s="182"/>
      <c r="D66" s="241" t="str">
        <f t="shared" ref="D66:D79" si="9">D23</f>
        <v>Les Boissons  Gâteries</v>
      </c>
      <c r="E66" s="245"/>
      <c r="F66" s="245"/>
      <c r="G66" s="266"/>
      <c r="H66" s="243"/>
      <c r="I66" s="182"/>
      <c r="J66" s="182"/>
      <c r="K66" s="182"/>
      <c r="L66" s="231"/>
      <c r="M66" s="230"/>
      <c r="N66" s="217"/>
    </row>
    <row r="67" spans="1:14" ht="18" x14ac:dyDescent="0.3">
      <c r="A67" s="624"/>
      <c r="B67" s="182">
        <f t="shared" ref="B67:C78" si="10">B24</f>
        <v>13</v>
      </c>
      <c r="C67" s="182">
        <f t="shared" si="10"/>
        <v>1</v>
      </c>
      <c r="D67" s="182" t="str">
        <f t="shared" si="9"/>
        <v>Boisson spécial numéro 1</v>
      </c>
      <c r="E67" s="268">
        <f t="shared" ref="E67:F78" si="11">E24</f>
        <v>2.2799999999999998</v>
      </c>
      <c r="F67" s="276">
        <f t="shared" si="11"/>
        <v>6.6</v>
      </c>
      <c r="G67" s="266">
        <f t="shared" ref="G67:G79" si="12">E67/F67</f>
        <v>0.34545454545454546</v>
      </c>
      <c r="H67" s="265">
        <f t="shared" ref="H67:H79" si="13">F67-E67</f>
        <v>4.32</v>
      </c>
      <c r="I67" s="264"/>
      <c r="J67" s="182"/>
      <c r="K67" s="182"/>
      <c r="L67" s="231"/>
      <c r="M67" s="230"/>
      <c r="N67" s="217"/>
    </row>
    <row r="68" spans="1:14" ht="18" x14ac:dyDescent="0.3">
      <c r="A68" s="624"/>
      <c r="B68" s="182">
        <f t="shared" si="10"/>
        <v>14</v>
      </c>
      <c r="C68" s="182">
        <f t="shared" si="10"/>
        <v>2</v>
      </c>
      <c r="D68" s="182" t="str">
        <f t="shared" si="9"/>
        <v>Boisson spécial numéro 2</v>
      </c>
      <c r="E68" s="268">
        <f t="shared" si="11"/>
        <v>2.66</v>
      </c>
      <c r="F68" s="267">
        <f t="shared" si="11"/>
        <v>7.6</v>
      </c>
      <c r="G68" s="266">
        <f t="shared" si="12"/>
        <v>0.35000000000000003</v>
      </c>
      <c r="H68" s="265">
        <f t="shared" si="13"/>
        <v>4.9399999999999995</v>
      </c>
      <c r="I68" s="264"/>
      <c r="J68" s="182"/>
      <c r="K68" s="182"/>
      <c r="L68" s="231"/>
      <c r="M68" s="230"/>
      <c r="N68" s="217"/>
    </row>
    <row r="69" spans="1:14" ht="18" x14ac:dyDescent="0.3">
      <c r="A69" s="624"/>
      <c r="B69" s="182">
        <f t="shared" si="10"/>
        <v>15</v>
      </c>
      <c r="C69" s="182">
        <f t="shared" si="10"/>
        <v>3</v>
      </c>
      <c r="D69" s="182" t="str">
        <f t="shared" si="9"/>
        <v>Boisson spécial numéro 3</v>
      </c>
      <c r="E69" s="268">
        <f t="shared" si="11"/>
        <v>2.74</v>
      </c>
      <c r="F69" s="267">
        <f t="shared" si="11"/>
        <v>8</v>
      </c>
      <c r="G69" s="266">
        <f t="shared" si="12"/>
        <v>0.34250000000000003</v>
      </c>
      <c r="H69" s="265">
        <f t="shared" si="13"/>
        <v>5.26</v>
      </c>
      <c r="I69" s="264"/>
      <c r="J69" s="182"/>
      <c r="K69" s="182"/>
      <c r="L69" s="231"/>
      <c r="M69" s="230"/>
      <c r="N69" s="217"/>
    </row>
    <row r="70" spans="1:14" ht="18" x14ac:dyDescent="0.3">
      <c r="A70" s="624"/>
      <c r="B70" s="182">
        <f t="shared" si="10"/>
        <v>16</v>
      </c>
      <c r="C70" s="182">
        <f t="shared" si="10"/>
        <v>4</v>
      </c>
      <c r="D70" s="182" t="str">
        <f t="shared" si="9"/>
        <v>Boisson spécial numéro 4</v>
      </c>
      <c r="E70" s="268">
        <f t="shared" si="11"/>
        <v>2.72</v>
      </c>
      <c r="F70" s="267">
        <f t="shared" si="11"/>
        <v>9</v>
      </c>
      <c r="G70" s="266">
        <f t="shared" si="12"/>
        <v>0.30222222222222223</v>
      </c>
      <c r="H70" s="265">
        <f t="shared" si="13"/>
        <v>6.2799999999999994</v>
      </c>
      <c r="I70" s="264"/>
      <c r="J70" s="182"/>
      <c r="K70" s="182"/>
      <c r="L70" s="231"/>
      <c r="M70" s="230"/>
      <c r="N70" s="217"/>
    </row>
    <row r="71" spans="1:14" ht="18" x14ac:dyDescent="0.3">
      <c r="A71" s="624"/>
      <c r="B71" s="182">
        <f t="shared" si="10"/>
        <v>17</v>
      </c>
      <c r="C71" s="182">
        <f t="shared" si="10"/>
        <v>5</v>
      </c>
      <c r="D71" s="182" t="str">
        <f t="shared" si="9"/>
        <v>Boisson spécial numéro 5</v>
      </c>
      <c r="E71" s="268">
        <f t="shared" si="11"/>
        <v>2.76</v>
      </c>
      <c r="F71" s="267">
        <f t="shared" si="11"/>
        <v>9.1999999999999993</v>
      </c>
      <c r="G71" s="266">
        <f t="shared" si="12"/>
        <v>0.3</v>
      </c>
      <c r="H71" s="265">
        <f t="shared" si="13"/>
        <v>6.4399999999999995</v>
      </c>
      <c r="I71" s="264"/>
      <c r="J71" s="182"/>
      <c r="K71" s="182"/>
      <c r="L71" s="231"/>
      <c r="M71" s="230"/>
      <c r="N71" s="217"/>
    </row>
    <row r="72" spans="1:14" ht="18" x14ac:dyDescent="0.3">
      <c r="A72" s="624"/>
      <c r="B72" s="182">
        <f t="shared" si="10"/>
        <v>18</v>
      </c>
      <c r="C72" s="182">
        <f t="shared" si="10"/>
        <v>6</v>
      </c>
      <c r="D72" s="182" t="str">
        <f t="shared" si="9"/>
        <v>Boisson spécial numéro 6</v>
      </c>
      <c r="E72" s="268">
        <f t="shared" si="11"/>
        <v>2.8</v>
      </c>
      <c r="F72" s="267">
        <f t="shared" si="11"/>
        <v>9.4</v>
      </c>
      <c r="G72" s="266">
        <f t="shared" si="12"/>
        <v>0.2978723404255319</v>
      </c>
      <c r="H72" s="265">
        <f t="shared" si="13"/>
        <v>6.6000000000000005</v>
      </c>
      <c r="I72" s="264"/>
      <c r="J72" s="182"/>
      <c r="K72" s="182"/>
      <c r="L72" s="231"/>
      <c r="M72" s="230"/>
      <c r="N72" s="217"/>
    </row>
    <row r="73" spans="1:14" ht="18" x14ac:dyDescent="0.3">
      <c r="A73" s="624"/>
      <c r="B73" s="182">
        <f t="shared" si="10"/>
        <v>19</v>
      </c>
      <c r="C73" s="182">
        <f t="shared" si="10"/>
        <v>7</v>
      </c>
      <c r="D73" s="182" t="str">
        <f t="shared" si="9"/>
        <v>Boisson spécial numéro 7</v>
      </c>
      <c r="E73" s="268">
        <f t="shared" si="11"/>
        <v>2.82</v>
      </c>
      <c r="F73" s="267">
        <f t="shared" si="11"/>
        <v>9.6</v>
      </c>
      <c r="G73" s="266">
        <f t="shared" si="12"/>
        <v>0.29375000000000001</v>
      </c>
      <c r="H73" s="265">
        <f t="shared" si="13"/>
        <v>6.7799999999999994</v>
      </c>
      <c r="I73" s="264"/>
      <c r="J73" s="182"/>
      <c r="K73" s="182"/>
      <c r="L73" s="231"/>
      <c r="M73" s="230"/>
      <c r="N73" s="217"/>
    </row>
    <row r="74" spans="1:14" ht="18" x14ac:dyDescent="0.3">
      <c r="A74" s="624"/>
      <c r="B74" s="182">
        <f t="shared" si="10"/>
        <v>20</v>
      </c>
      <c r="C74" s="182">
        <f t="shared" si="10"/>
        <v>8</v>
      </c>
      <c r="D74" s="182" t="str">
        <f t="shared" si="9"/>
        <v>Boisson spécial numéro 8</v>
      </c>
      <c r="E74" s="268">
        <f t="shared" si="11"/>
        <v>2.86</v>
      </c>
      <c r="F74" s="267">
        <f t="shared" si="11"/>
        <v>9.8000000000000007</v>
      </c>
      <c r="G74" s="266">
        <f t="shared" si="12"/>
        <v>0.2918367346938775</v>
      </c>
      <c r="H74" s="265">
        <f t="shared" si="13"/>
        <v>6.9400000000000013</v>
      </c>
      <c r="I74" s="264"/>
      <c r="J74" s="182"/>
      <c r="K74" s="182"/>
      <c r="L74" s="231"/>
      <c r="M74" s="230"/>
      <c r="N74" s="217"/>
    </row>
    <row r="75" spans="1:14" ht="18" x14ac:dyDescent="0.3">
      <c r="A75" s="624"/>
      <c r="B75" s="182">
        <f t="shared" si="10"/>
        <v>21</v>
      </c>
      <c r="C75" s="182">
        <f t="shared" si="10"/>
        <v>9</v>
      </c>
      <c r="D75" s="182" t="str">
        <f t="shared" si="9"/>
        <v>Boisson spécial numéro 9</v>
      </c>
      <c r="E75" s="268">
        <f t="shared" si="11"/>
        <v>2.9</v>
      </c>
      <c r="F75" s="267">
        <f t="shared" si="11"/>
        <v>10</v>
      </c>
      <c r="G75" s="266">
        <f t="shared" si="12"/>
        <v>0.28999999999999998</v>
      </c>
      <c r="H75" s="265">
        <f t="shared" si="13"/>
        <v>7.1</v>
      </c>
      <c r="I75" s="264"/>
      <c r="J75" s="182"/>
      <c r="K75" s="182"/>
      <c r="L75" s="231"/>
      <c r="M75" s="230"/>
      <c r="N75" s="217"/>
    </row>
    <row r="76" spans="1:14" ht="18" x14ac:dyDescent="0.3">
      <c r="A76" s="624"/>
      <c r="B76" s="182">
        <f t="shared" si="10"/>
        <v>22</v>
      </c>
      <c r="C76" s="182">
        <f t="shared" si="10"/>
        <v>10</v>
      </c>
      <c r="D76" s="182" t="str">
        <f t="shared" si="9"/>
        <v>Boisson spécial numéro 10</v>
      </c>
      <c r="E76" s="268">
        <f t="shared" si="11"/>
        <v>2.98</v>
      </c>
      <c r="F76" s="267">
        <f t="shared" si="11"/>
        <v>10.4</v>
      </c>
      <c r="G76" s="266">
        <f t="shared" si="12"/>
        <v>0.28653846153846152</v>
      </c>
      <c r="H76" s="265">
        <f t="shared" si="13"/>
        <v>7.42</v>
      </c>
      <c r="I76" s="264"/>
      <c r="J76" s="182"/>
      <c r="K76" s="182"/>
      <c r="L76" s="231"/>
      <c r="M76" s="230"/>
      <c r="N76" s="217"/>
    </row>
    <row r="77" spans="1:14" ht="18" x14ac:dyDescent="0.3">
      <c r="A77" s="624"/>
      <c r="B77" s="182">
        <f t="shared" si="10"/>
        <v>23</v>
      </c>
      <c r="C77" s="182">
        <f t="shared" si="10"/>
        <v>11</v>
      </c>
      <c r="D77" s="182" t="str">
        <f t="shared" si="9"/>
        <v>Boisson spécial numéro 11</v>
      </c>
      <c r="E77" s="268">
        <f t="shared" si="11"/>
        <v>3.18</v>
      </c>
      <c r="F77" s="267">
        <f t="shared" si="11"/>
        <v>11.6</v>
      </c>
      <c r="G77" s="266">
        <f t="shared" si="12"/>
        <v>0.27413793103448281</v>
      </c>
      <c r="H77" s="265">
        <f t="shared" si="13"/>
        <v>8.42</v>
      </c>
      <c r="I77" s="264"/>
      <c r="J77" s="182"/>
      <c r="K77" s="182"/>
      <c r="L77" s="231"/>
      <c r="M77" s="230"/>
      <c r="N77" s="217"/>
    </row>
    <row r="78" spans="1:14" ht="18" x14ac:dyDescent="0.3">
      <c r="A78" s="624"/>
      <c r="B78" s="182">
        <f t="shared" si="10"/>
        <v>24</v>
      </c>
      <c r="C78" s="182">
        <f t="shared" si="10"/>
        <v>12</v>
      </c>
      <c r="D78" s="182" t="str">
        <f t="shared" si="9"/>
        <v>Boisson spécial numéro 12</v>
      </c>
      <c r="E78" s="268">
        <f t="shared" si="11"/>
        <v>3.48</v>
      </c>
      <c r="F78" s="267">
        <f t="shared" si="11"/>
        <v>13.2</v>
      </c>
      <c r="G78" s="266">
        <f t="shared" si="12"/>
        <v>0.26363636363636367</v>
      </c>
      <c r="H78" s="265">
        <f t="shared" si="13"/>
        <v>9.7199999999999989</v>
      </c>
      <c r="I78" s="264"/>
      <c r="J78" s="182"/>
      <c r="K78" s="182"/>
      <c r="L78" s="231"/>
      <c r="M78" s="230"/>
      <c r="N78" s="217"/>
    </row>
    <row r="79" spans="1:14" ht="19" x14ac:dyDescent="0.35">
      <c r="A79" s="624"/>
      <c r="B79" s="182"/>
      <c r="C79" s="182"/>
      <c r="D79" s="241" t="str">
        <f t="shared" si="9"/>
        <v>CmO—PmO—Beverage Cost—Marge brute</v>
      </c>
      <c r="E79" s="262">
        <f>SUM(E67:E78)/C78</f>
        <v>2.8483333333333332</v>
      </c>
      <c r="F79" s="262">
        <f>SUM(F67:F78)/C78</f>
        <v>9.5333333333333332</v>
      </c>
      <c r="G79" s="261">
        <f t="shared" si="12"/>
        <v>0.29877622377622376</v>
      </c>
      <c r="H79" s="260">
        <f t="shared" si="13"/>
        <v>6.6850000000000005</v>
      </c>
      <c r="I79" s="259"/>
      <c r="J79" s="182"/>
      <c r="K79" s="182"/>
      <c r="L79" s="291">
        <v>1</v>
      </c>
      <c r="M79" s="230" t="s">
        <v>1</v>
      </c>
      <c r="N79" s="217"/>
    </row>
    <row r="80" spans="1:14" ht="19" thickBot="1" x14ac:dyDescent="0.35">
      <c r="A80" s="624"/>
      <c r="B80" s="182"/>
      <c r="C80" s="182"/>
      <c r="D80" s="182"/>
      <c r="E80" s="245"/>
      <c r="F80" s="245"/>
      <c r="G80" s="244"/>
      <c r="H80" s="243"/>
      <c r="I80" s="182"/>
      <c r="J80" s="182"/>
      <c r="K80" s="182"/>
      <c r="L80" s="231"/>
      <c r="M80" s="230"/>
      <c r="N80" s="217"/>
    </row>
    <row r="81" spans="1:14" ht="21" thickTop="1" thickBot="1" x14ac:dyDescent="0.4">
      <c r="A81" s="624"/>
      <c r="B81" s="182"/>
      <c r="C81" s="256"/>
      <c r="D81" s="255"/>
      <c r="E81" s="254"/>
      <c r="F81" s="254"/>
      <c r="G81" s="253"/>
      <c r="H81" s="252"/>
      <c r="I81" s="251"/>
      <c r="J81" s="182"/>
      <c r="K81" s="182"/>
      <c r="L81" s="231"/>
      <c r="M81" s="230"/>
      <c r="N81" s="217"/>
    </row>
    <row r="82" spans="1:14" ht="20" thickTop="1" thickBot="1" x14ac:dyDescent="0.35">
      <c r="A82" s="624"/>
      <c r="B82" s="182"/>
      <c r="C82" s="236"/>
      <c r="D82" s="241"/>
      <c r="E82" s="250" t="str">
        <f>E39</f>
        <v>CmO</v>
      </c>
      <c r="F82" s="250" t="str">
        <f>F39</f>
        <v>PmO</v>
      </c>
      <c r="G82" s="249" t="str">
        <f>G39</f>
        <v>F&amp;BCmO</v>
      </c>
      <c r="H82" s="248" t="str">
        <f>H39</f>
        <v>BmO</v>
      </c>
      <c r="I82" s="247"/>
      <c r="J82" s="182"/>
      <c r="K82" s="182"/>
      <c r="L82" s="231"/>
      <c r="M82" s="230"/>
      <c r="N82" s="217"/>
    </row>
    <row r="83" spans="1:14" ht="19" thickTop="1" x14ac:dyDescent="0.3">
      <c r="A83" s="624"/>
      <c r="B83" s="182"/>
      <c r="C83" s="236"/>
      <c r="D83" s="246" t="str">
        <f>D40</f>
        <v>OFFRE TOTALE AVEC LES GÂTERIES ET LES CAFÉS GÂTERIES</v>
      </c>
      <c r="E83" s="245"/>
      <c r="F83" s="245"/>
      <c r="G83" s="244"/>
      <c r="H83" s="243"/>
      <c r="I83" s="242"/>
      <c r="J83" s="182"/>
      <c r="K83" s="182"/>
      <c r="L83" s="231"/>
      <c r="M83" s="230"/>
      <c r="N83" s="217"/>
    </row>
    <row r="84" spans="1:14" ht="19" x14ac:dyDescent="0.35">
      <c r="A84" s="624"/>
      <c r="B84" s="182"/>
      <c r="C84" s="236"/>
      <c r="D84" s="241" t="str">
        <f>D41</f>
        <v>CmO—PmO—F&amp;B cost moyen offert—Marge brute</v>
      </c>
      <c r="E84" s="240">
        <f>+(E52+E53+E54+E55+E56+E57+E58+E59+E60+E61+E62+E63+E67+E68+E69+E70+E71+E72+E73+E74+E75+E76+E77+E78)/B78</f>
        <v>2.1649999999999996</v>
      </c>
      <c r="F84" s="240">
        <f>+(F52+F53+F54+F55+F56+F57+F58+F59+F60+F61+F62+F63+F67+F68+F69+F70+F71+F72+F73+F74+F75+F76+F77+F78)/B78</f>
        <v>7.1749999999999998</v>
      </c>
      <c r="G84" s="239">
        <f>E84/F84</f>
        <v>0.30174216027874562</v>
      </c>
      <c r="H84" s="238">
        <f>F84-E84</f>
        <v>5.01</v>
      </c>
      <c r="I84" s="237"/>
      <c r="J84" s="182"/>
      <c r="K84" s="182"/>
      <c r="L84" s="231">
        <f>L41</f>
        <v>2</v>
      </c>
      <c r="M84" s="230">
        <f>'% Occupation'!E19</f>
        <v>196</v>
      </c>
      <c r="N84" s="217"/>
    </row>
    <row r="85" spans="1:14" ht="18" x14ac:dyDescent="0.3">
      <c r="A85" s="624"/>
      <c r="B85" s="182"/>
      <c r="C85" s="236"/>
      <c r="D85" s="182"/>
      <c r="E85" s="235"/>
      <c r="F85" s="235"/>
      <c r="G85" s="234"/>
      <c r="H85" s="233"/>
      <c r="I85" s="232"/>
      <c r="J85" s="182"/>
      <c r="K85" s="182"/>
      <c r="L85" s="231"/>
      <c r="M85" s="230"/>
      <c r="N85" s="217"/>
    </row>
    <row r="86" spans="1:14" ht="19" thickBot="1" x14ac:dyDescent="0.35">
      <c r="A86" s="624"/>
      <c r="B86" s="182"/>
      <c r="C86" s="229"/>
      <c r="D86" s="228"/>
      <c r="E86" s="227"/>
      <c r="F86" s="227"/>
      <c r="G86" s="226"/>
      <c r="H86" s="225"/>
      <c r="I86" s="224"/>
      <c r="J86" s="182"/>
      <c r="K86" s="182"/>
      <c r="L86" s="223"/>
      <c r="M86" s="222"/>
      <c r="N86" s="217"/>
    </row>
    <row r="87" spans="1:14" ht="19" thickTop="1" x14ac:dyDescent="0.3">
      <c r="A87" s="624"/>
      <c r="B87" s="295"/>
      <c r="C87" s="295"/>
      <c r="D87" s="295"/>
      <c r="E87" s="295"/>
      <c r="F87" s="295"/>
      <c r="G87" s="295"/>
      <c r="H87" s="295"/>
      <c r="I87" s="295"/>
      <c r="J87" s="182"/>
      <c r="K87" s="182"/>
      <c r="L87" s="289"/>
      <c r="M87" s="288"/>
      <c r="N87" s="217"/>
    </row>
    <row r="88" spans="1:14" ht="23" x14ac:dyDescent="0.3">
      <c r="A88" s="624"/>
      <c r="D88" s="287" t="s">
        <v>97</v>
      </c>
      <c r="F88" s="283"/>
      <c r="L88" s="289"/>
      <c r="M88" s="288"/>
      <c r="N88" s="217"/>
    </row>
    <row r="89" spans="1:14" ht="24" thickBot="1" x14ac:dyDescent="0.35">
      <c r="A89" s="624"/>
      <c r="D89" s="285"/>
      <c r="L89" s="289"/>
      <c r="M89" s="288"/>
      <c r="N89" s="217"/>
    </row>
    <row r="90" spans="1:14" ht="23" customHeight="1" thickTop="1" x14ac:dyDescent="0.25">
      <c r="A90" s="624"/>
      <c r="D90" s="285"/>
      <c r="E90" s="604" t="str">
        <f>E47</f>
        <v>Coûts des ressources alimentaires pour chaque produit offert (voir recettes standardisées)</v>
      </c>
      <c r="F90" s="604" t="str">
        <f>F47</f>
        <v>Prix de vente par produit offert</v>
      </c>
      <c r="G90" s="604" t="str">
        <f>G47</f>
        <v xml:space="preserve">« Food &amp; Beverage Cost » </v>
      </c>
      <c r="H90" s="604" t="str">
        <f>H47</f>
        <v>Marge brute gagnée sur la vente de chaque produit offert</v>
      </c>
      <c r="I90" s="286"/>
      <c r="L90" s="613" t="s">
        <v>84</v>
      </c>
      <c r="M90" s="613" t="s">
        <v>83</v>
      </c>
      <c r="N90" s="217"/>
    </row>
    <row r="91" spans="1:14" ht="22" x14ac:dyDescent="0.25">
      <c r="A91" s="624"/>
      <c r="D91" s="285"/>
      <c r="E91" s="605"/>
      <c r="F91" s="607"/>
      <c r="G91" s="607"/>
      <c r="H91" s="607"/>
      <c r="I91" s="284"/>
      <c r="L91" s="614"/>
      <c r="M91" s="616"/>
      <c r="N91" s="217"/>
    </row>
    <row r="92" spans="1:14" ht="17" thickBot="1" x14ac:dyDescent="0.25">
      <c r="A92" s="624"/>
      <c r="E92" s="606"/>
      <c r="F92" s="608"/>
      <c r="G92" s="608"/>
      <c r="H92" s="608"/>
      <c r="I92" s="284"/>
      <c r="L92" s="615"/>
      <c r="M92" s="617"/>
      <c r="N92" s="217"/>
    </row>
    <row r="93" spans="1:14" ht="20" thickTop="1" thickBot="1" x14ac:dyDescent="0.35">
      <c r="A93" s="624"/>
      <c r="B93" s="149" t="s">
        <v>1</v>
      </c>
      <c r="E93" s="283"/>
      <c r="F93" s="283"/>
      <c r="G93" s="282"/>
      <c r="L93" s="289"/>
      <c r="M93" s="288"/>
      <c r="N93" s="217"/>
    </row>
    <row r="94" spans="1:14" ht="19" thickTop="1" x14ac:dyDescent="0.3">
      <c r="A94" s="624"/>
      <c r="B94" s="182"/>
      <c r="C94" s="182"/>
      <c r="D94" s="241" t="str">
        <f t="shared" ref="D94:D107" si="14">D51</f>
        <v>Les Petite Gâteries</v>
      </c>
      <c r="E94" s="264"/>
      <c r="F94" s="264"/>
      <c r="G94" s="244"/>
      <c r="H94" s="182"/>
      <c r="I94" s="182"/>
      <c r="J94" s="182"/>
      <c r="K94" s="182"/>
      <c r="L94" s="281"/>
      <c r="M94" s="280"/>
      <c r="N94" s="217"/>
    </row>
    <row r="95" spans="1:14" ht="18" x14ac:dyDescent="0.3">
      <c r="A95" s="624"/>
      <c r="B95" s="182">
        <f t="shared" ref="B95:C106" si="15">B52</f>
        <v>1</v>
      </c>
      <c r="C95" s="182">
        <f t="shared" si="15"/>
        <v>1</v>
      </c>
      <c r="D95" s="182" t="str">
        <f t="shared" si="14"/>
        <v>Petite Gâterie 1</v>
      </c>
      <c r="E95" s="268">
        <f t="shared" ref="E95:F106" si="16">E52</f>
        <v>1.21</v>
      </c>
      <c r="F95" s="267">
        <f t="shared" si="16"/>
        <v>3.3</v>
      </c>
      <c r="G95" s="266">
        <f t="shared" ref="G95:G107" si="17">E95/F95</f>
        <v>0.3666666666666667</v>
      </c>
      <c r="H95" s="265">
        <f t="shared" ref="H95:H107" si="18">F95-E95</f>
        <v>2.09</v>
      </c>
      <c r="I95" s="264"/>
      <c r="J95" s="182"/>
      <c r="K95" s="182"/>
      <c r="L95" s="279"/>
      <c r="M95" s="230"/>
      <c r="N95" s="217"/>
    </row>
    <row r="96" spans="1:14" ht="18" x14ac:dyDescent="0.3">
      <c r="A96" s="624"/>
      <c r="B96" s="182">
        <f t="shared" si="15"/>
        <v>2</v>
      </c>
      <c r="C96" s="182">
        <f t="shared" si="15"/>
        <v>2</v>
      </c>
      <c r="D96" s="182" t="str">
        <f t="shared" si="14"/>
        <v>Petite Gâterie 2</v>
      </c>
      <c r="E96" s="268">
        <f t="shared" si="16"/>
        <v>1.31</v>
      </c>
      <c r="F96" s="267">
        <f t="shared" si="16"/>
        <v>3.8</v>
      </c>
      <c r="G96" s="266">
        <f t="shared" si="17"/>
        <v>0.34473684210526317</v>
      </c>
      <c r="H96" s="265">
        <f t="shared" si="18"/>
        <v>2.4899999999999998</v>
      </c>
      <c r="I96" s="264"/>
      <c r="J96" s="182"/>
      <c r="K96" s="182"/>
      <c r="L96" s="231"/>
      <c r="M96" s="230"/>
      <c r="N96" s="217"/>
    </row>
    <row r="97" spans="1:14" ht="18" x14ac:dyDescent="0.3">
      <c r="A97" s="624"/>
      <c r="B97" s="182">
        <f t="shared" si="15"/>
        <v>3</v>
      </c>
      <c r="C97" s="182">
        <f t="shared" si="15"/>
        <v>3</v>
      </c>
      <c r="D97" s="182" t="str">
        <f t="shared" si="14"/>
        <v>Petite Gâterie 3</v>
      </c>
      <c r="E97" s="268">
        <f t="shared" si="16"/>
        <v>1.35</v>
      </c>
      <c r="F97" s="267">
        <f t="shared" si="16"/>
        <v>4</v>
      </c>
      <c r="G97" s="266">
        <f t="shared" si="17"/>
        <v>0.33750000000000002</v>
      </c>
      <c r="H97" s="265">
        <f t="shared" si="18"/>
        <v>2.65</v>
      </c>
      <c r="I97" s="264"/>
      <c r="J97" s="182"/>
      <c r="K97" s="182"/>
      <c r="L97" s="231"/>
      <c r="M97" s="230"/>
      <c r="N97" s="217"/>
    </row>
    <row r="98" spans="1:14" ht="18" x14ac:dyDescent="0.3">
      <c r="A98" s="624"/>
      <c r="B98" s="182">
        <f t="shared" si="15"/>
        <v>4</v>
      </c>
      <c r="C98" s="182">
        <f t="shared" si="15"/>
        <v>4</v>
      </c>
      <c r="D98" s="182" t="str">
        <f t="shared" si="14"/>
        <v>Petite Gâterie 4</v>
      </c>
      <c r="E98" s="268">
        <f t="shared" si="16"/>
        <v>1.4</v>
      </c>
      <c r="F98" s="267">
        <f t="shared" si="16"/>
        <v>4.5</v>
      </c>
      <c r="G98" s="266">
        <f t="shared" si="17"/>
        <v>0.31111111111111112</v>
      </c>
      <c r="H98" s="265">
        <f t="shared" si="18"/>
        <v>3.1</v>
      </c>
      <c r="I98" s="264"/>
      <c r="J98" s="182"/>
      <c r="K98" s="182"/>
      <c r="L98" s="231"/>
      <c r="M98" s="230"/>
      <c r="N98" s="217"/>
    </row>
    <row r="99" spans="1:14" ht="18" x14ac:dyDescent="0.3">
      <c r="A99" s="624"/>
      <c r="B99" s="182">
        <f t="shared" si="15"/>
        <v>5</v>
      </c>
      <c r="C99" s="182">
        <f t="shared" si="15"/>
        <v>5</v>
      </c>
      <c r="D99" s="182" t="str">
        <f t="shared" si="14"/>
        <v>Petite Gâterie 5</v>
      </c>
      <c r="E99" s="268">
        <f t="shared" si="16"/>
        <v>1.24</v>
      </c>
      <c r="F99" s="267">
        <f t="shared" si="16"/>
        <v>4.5999999999999996</v>
      </c>
      <c r="G99" s="266">
        <f t="shared" si="17"/>
        <v>0.26956521739130435</v>
      </c>
      <c r="H99" s="265">
        <f t="shared" si="18"/>
        <v>3.3599999999999994</v>
      </c>
      <c r="I99" s="264"/>
      <c r="J99" s="182"/>
      <c r="K99" s="182"/>
      <c r="L99" s="231"/>
      <c r="M99" s="230"/>
      <c r="N99" s="217"/>
    </row>
    <row r="100" spans="1:14" ht="18" x14ac:dyDescent="0.3">
      <c r="A100" s="624"/>
      <c r="B100" s="182">
        <f t="shared" si="15"/>
        <v>6</v>
      </c>
      <c r="C100" s="182">
        <f t="shared" si="15"/>
        <v>6</v>
      </c>
      <c r="D100" s="182" t="str">
        <f t="shared" si="14"/>
        <v>Petite Gâterie 6</v>
      </c>
      <c r="E100" s="268">
        <f t="shared" si="16"/>
        <v>1.39</v>
      </c>
      <c r="F100" s="267">
        <f t="shared" si="16"/>
        <v>4.7</v>
      </c>
      <c r="G100" s="266">
        <f t="shared" si="17"/>
        <v>0.29574468085106381</v>
      </c>
      <c r="H100" s="265">
        <f t="shared" si="18"/>
        <v>3.3100000000000005</v>
      </c>
      <c r="I100" s="264"/>
      <c r="J100" s="182"/>
      <c r="K100" s="182"/>
      <c r="L100" s="231"/>
      <c r="M100" s="230"/>
      <c r="N100" s="217"/>
    </row>
    <row r="101" spans="1:14" ht="18" x14ac:dyDescent="0.3">
      <c r="A101" s="624"/>
      <c r="B101" s="182">
        <f t="shared" si="15"/>
        <v>7</v>
      </c>
      <c r="C101" s="182">
        <f t="shared" si="15"/>
        <v>7</v>
      </c>
      <c r="D101" s="182" t="str">
        <f t="shared" si="14"/>
        <v>Petite Gâterie 7</v>
      </c>
      <c r="E101" s="268">
        <f t="shared" si="16"/>
        <v>1.51</v>
      </c>
      <c r="F101" s="267">
        <f t="shared" si="16"/>
        <v>4.8</v>
      </c>
      <c r="G101" s="266">
        <f t="shared" si="17"/>
        <v>0.31458333333333333</v>
      </c>
      <c r="H101" s="265">
        <f t="shared" si="18"/>
        <v>3.29</v>
      </c>
      <c r="I101" s="264"/>
      <c r="J101" s="182"/>
      <c r="K101" s="182"/>
      <c r="L101" s="231"/>
      <c r="M101" s="230"/>
      <c r="N101" s="217"/>
    </row>
    <row r="102" spans="1:14" ht="18" x14ac:dyDescent="0.3">
      <c r="A102" s="624"/>
      <c r="B102" s="182">
        <f t="shared" si="15"/>
        <v>8</v>
      </c>
      <c r="C102" s="182">
        <f t="shared" si="15"/>
        <v>8</v>
      </c>
      <c r="D102" s="182" t="str">
        <f t="shared" si="14"/>
        <v>Petite Gâterie 8</v>
      </c>
      <c r="E102" s="268">
        <f t="shared" si="16"/>
        <v>1.53</v>
      </c>
      <c r="F102" s="267">
        <f t="shared" si="16"/>
        <v>4.9000000000000004</v>
      </c>
      <c r="G102" s="266">
        <f t="shared" si="17"/>
        <v>0.31224489795918364</v>
      </c>
      <c r="H102" s="265">
        <f t="shared" si="18"/>
        <v>3.37</v>
      </c>
      <c r="I102" s="264"/>
      <c r="J102" s="182"/>
      <c r="K102" s="182"/>
      <c r="L102" s="231"/>
      <c r="M102" s="230"/>
      <c r="N102" s="217"/>
    </row>
    <row r="103" spans="1:14" ht="18" x14ac:dyDescent="0.3">
      <c r="A103" s="624"/>
      <c r="B103" s="182">
        <f t="shared" si="15"/>
        <v>9</v>
      </c>
      <c r="C103" s="182">
        <f t="shared" si="15"/>
        <v>9</v>
      </c>
      <c r="D103" s="182" t="str">
        <f t="shared" si="14"/>
        <v>Petite Gâterie 9</v>
      </c>
      <c r="E103" s="268">
        <f t="shared" si="16"/>
        <v>1.55</v>
      </c>
      <c r="F103" s="267">
        <f t="shared" si="16"/>
        <v>5</v>
      </c>
      <c r="G103" s="266">
        <f t="shared" si="17"/>
        <v>0.31</v>
      </c>
      <c r="H103" s="265">
        <f t="shared" si="18"/>
        <v>3.45</v>
      </c>
      <c r="I103" s="264"/>
      <c r="J103" s="182"/>
      <c r="K103" s="182"/>
      <c r="L103" s="231"/>
      <c r="M103" s="230"/>
      <c r="N103" s="217"/>
    </row>
    <row r="104" spans="1:14" ht="18" x14ac:dyDescent="0.3">
      <c r="A104" s="624"/>
      <c r="B104" s="182">
        <f t="shared" si="15"/>
        <v>10</v>
      </c>
      <c r="C104" s="182">
        <f t="shared" si="15"/>
        <v>10</v>
      </c>
      <c r="D104" s="182" t="str">
        <f t="shared" si="14"/>
        <v>Petite Gâterie 10</v>
      </c>
      <c r="E104" s="268">
        <f t="shared" si="16"/>
        <v>1.59</v>
      </c>
      <c r="F104" s="267">
        <f t="shared" si="16"/>
        <v>5.2</v>
      </c>
      <c r="G104" s="266">
        <f t="shared" si="17"/>
        <v>0.30576923076923079</v>
      </c>
      <c r="H104" s="265">
        <f t="shared" si="18"/>
        <v>3.6100000000000003</v>
      </c>
      <c r="I104" s="264"/>
      <c r="J104" s="182"/>
      <c r="K104" s="182"/>
      <c r="L104" s="231"/>
      <c r="M104" s="230"/>
      <c r="N104" s="217"/>
    </row>
    <row r="105" spans="1:14" ht="18" x14ac:dyDescent="0.3">
      <c r="A105" s="624"/>
      <c r="B105" s="182">
        <f t="shared" si="15"/>
        <v>11</v>
      </c>
      <c r="C105" s="182">
        <f t="shared" si="15"/>
        <v>11</v>
      </c>
      <c r="D105" s="182" t="str">
        <f t="shared" si="14"/>
        <v>Petite Gâterie 11</v>
      </c>
      <c r="E105" s="268">
        <f t="shared" si="16"/>
        <v>1.83</v>
      </c>
      <c r="F105" s="267">
        <f t="shared" si="16"/>
        <v>6.4</v>
      </c>
      <c r="G105" s="266">
        <f t="shared" si="17"/>
        <v>0.28593750000000001</v>
      </c>
      <c r="H105" s="265">
        <f t="shared" si="18"/>
        <v>4.57</v>
      </c>
      <c r="I105" s="264"/>
      <c r="J105" s="182"/>
      <c r="K105" s="182"/>
      <c r="L105" s="231"/>
      <c r="M105" s="230"/>
      <c r="N105" s="217"/>
    </row>
    <row r="106" spans="1:14" ht="18" x14ac:dyDescent="0.3">
      <c r="A106" s="624"/>
      <c r="B106" s="182">
        <f t="shared" si="15"/>
        <v>12</v>
      </c>
      <c r="C106" s="182">
        <f t="shared" si="15"/>
        <v>12</v>
      </c>
      <c r="D106" s="182" t="str">
        <f t="shared" si="14"/>
        <v>Petite Gâterie 12</v>
      </c>
      <c r="E106" s="268">
        <f t="shared" si="16"/>
        <v>1.87</v>
      </c>
      <c r="F106" s="267">
        <f t="shared" si="16"/>
        <v>6.6</v>
      </c>
      <c r="G106" s="266">
        <f t="shared" si="17"/>
        <v>0.28333333333333338</v>
      </c>
      <c r="H106" s="265">
        <f t="shared" si="18"/>
        <v>4.7299999999999995</v>
      </c>
      <c r="I106" s="264"/>
      <c r="J106" s="182"/>
      <c r="K106" s="182"/>
      <c r="L106" s="231"/>
      <c r="M106" s="230"/>
      <c r="N106" s="217"/>
    </row>
    <row r="107" spans="1:14" ht="19" x14ac:dyDescent="0.35">
      <c r="A107" s="624"/>
      <c r="B107" s="182"/>
      <c r="C107" s="182"/>
      <c r="D107" s="241" t="str">
        <f t="shared" si="14"/>
        <v>CmO—PmO—Food Cost—BmO</v>
      </c>
      <c r="E107" s="262">
        <f>SUM(E95:E106)/C106</f>
        <v>1.4816666666666667</v>
      </c>
      <c r="F107" s="262">
        <f>SUM(F95:F106)/C106</f>
        <v>4.8166666666666673</v>
      </c>
      <c r="G107" s="277">
        <f t="shared" si="17"/>
        <v>0.30761245674740478</v>
      </c>
      <c r="H107" s="260">
        <f t="shared" si="18"/>
        <v>3.3350000000000009</v>
      </c>
      <c r="I107" s="259"/>
      <c r="J107" s="182"/>
      <c r="K107" s="182"/>
      <c r="L107" s="291">
        <v>1</v>
      </c>
      <c r="M107" s="230" t="s">
        <v>1</v>
      </c>
      <c r="N107" s="217"/>
    </row>
    <row r="108" spans="1:14" ht="18" x14ac:dyDescent="0.3">
      <c r="A108" s="624"/>
      <c r="B108" s="182" t="s">
        <v>1</v>
      </c>
      <c r="C108" s="182"/>
      <c r="D108" s="182"/>
      <c r="E108" s="245"/>
      <c r="F108" s="245"/>
      <c r="G108" s="266"/>
      <c r="H108" s="243"/>
      <c r="I108" s="182"/>
      <c r="J108" s="182"/>
      <c r="K108" s="182"/>
      <c r="L108" s="231"/>
      <c r="M108" s="230"/>
      <c r="N108" s="217"/>
    </row>
    <row r="109" spans="1:14" ht="18" x14ac:dyDescent="0.3">
      <c r="A109" s="624"/>
      <c r="B109" s="182"/>
      <c r="C109" s="182"/>
      <c r="D109" s="241" t="str">
        <f t="shared" ref="D109:D122" si="19">D66</f>
        <v>Les Boissons  Gâteries</v>
      </c>
      <c r="E109" s="245"/>
      <c r="F109" s="245"/>
      <c r="G109" s="266"/>
      <c r="H109" s="243"/>
      <c r="I109" s="182"/>
      <c r="J109" s="182"/>
      <c r="K109" s="182"/>
      <c r="L109" s="231"/>
      <c r="M109" s="230"/>
      <c r="N109" s="217"/>
    </row>
    <row r="110" spans="1:14" ht="18" x14ac:dyDescent="0.3">
      <c r="A110" s="624"/>
      <c r="B110" s="182">
        <f t="shared" ref="B110:C121" si="20">B67</f>
        <v>13</v>
      </c>
      <c r="C110" s="182">
        <f t="shared" si="20"/>
        <v>1</v>
      </c>
      <c r="D110" s="182" t="str">
        <f t="shared" si="19"/>
        <v>Boisson spécial numéro 1</v>
      </c>
      <c r="E110" s="268">
        <f t="shared" ref="E110:F121" si="21">E67</f>
        <v>2.2799999999999998</v>
      </c>
      <c r="F110" s="267">
        <f t="shared" si="21"/>
        <v>6.6</v>
      </c>
      <c r="G110" s="266">
        <f t="shared" ref="G110:G122" si="22">E110/F110</f>
        <v>0.34545454545454546</v>
      </c>
      <c r="H110" s="265">
        <f t="shared" ref="H110:H122" si="23">F110-E110</f>
        <v>4.32</v>
      </c>
      <c r="I110" s="264"/>
      <c r="J110" s="182"/>
      <c r="K110" s="182"/>
      <c r="L110" s="231"/>
      <c r="M110" s="230"/>
      <c r="N110" s="217"/>
    </row>
    <row r="111" spans="1:14" ht="18" x14ac:dyDescent="0.3">
      <c r="A111" s="624"/>
      <c r="B111" s="182">
        <f t="shared" si="20"/>
        <v>14</v>
      </c>
      <c r="C111" s="182">
        <f t="shared" si="20"/>
        <v>2</v>
      </c>
      <c r="D111" s="182" t="str">
        <f t="shared" si="19"/>
        <v>Boisson spécial numéro 2</v>
      </c>
      <c r="E111" s="268">
        <f t="shared" si="21"/>
        <v>2.66</v>
      </c>
      <c r="F111" s="267">
        <f t="shared" si="21"/>
        <v>7.6</v>
      </c>
      <c r="G111" s="266">
        <f t="shared" si="22"/>
        <v>0.35000000000000003</v>
      </c>
      <c r="H111" s="265">
        <f t="shared" si="23"/>
        <v>4.9399999999999995</v>
      </c>
      <c r="I111" s="264"/>
      <c r="J111" s="182"/>
      <c r="K111" s="182"/>
      <c r="L111" s="231"/>
      <c r="M111" s="230"/>
      <c r="N111" s="217"/>
    </row>
    <row r="112" spans="1:14" ht="18" x14ac:dyDescent="0.3">
      <c r="A112" s="624"/>
      <c r="B112" s="182">
        <f t="shared" si="20"/>
        <v>15</v>
      </c>
      <c r="C112" s="182">
        <f t="shared" si="20"/>
        <v>3</v>
      </c>
      <c r="D112" s="182" t="str">
        <f t="shared" si="19"/>
        <v>Boisson spécial numéro 3</v>
      </c>
      <c r="E112" s="268">
        <f t="shared" si="21"/>
        <v>2.74</v>
      </c>
      <c r="F112" s="267">
        <f t="shared" si="21"/>
        <v>8</v>
      </c>
      <c r="G112" s="266">
        <f t="shared" si="22"/>
        <v>0.34250000000000003</v>
      </c>
      <c r="H112" s="265">
        <f t="shared" si="23"/>
        <v>5.26</v>
      </c>
      <c r="I112" s="264"/>
      <c r="J112" s="182"/>
      <c r="K112" s="182"/>
      <c r="L112" s="231"/>
      <c r="M112" s="230"/>
      <c r="N112" s="217"/>
    </row>
    <row r="113" spans="1:14" ht="18" x14ac:dyDescent="0.3">
      <c r="A113" s="624"/>
      <c r="B113" s="182">
        <f t="shared" si="20"/>
        <v>16</v>
      </c>
      <c r="C113" s="182">
        <f t="shared" si="20"/>
        <v>4</v>
      </c>
      <c r="D113" s="182" t="str">
        <f t="shared" si="19"/>
        <v>Boisson spécial numéro 4</v>
      </c>
      <c r="E113" s="268">
        <f t="shared" si="21"/>
        <v>2.72</v>
      </c>
      <c r="F113" s="267">
        <f t="shared" si="21"/>
        <v>9</v>
      </c>
      <c r="G113" s="266">
        <f t="shared" si="22"/>
        <v>0.30222222222222223</v>
      </c>
      <c r="H113" s="265">
        <f t="shared" si="23"/>
        <v>6.2799999999999994</v>
      </c>
      <c r="I113" s="264"/>
      <c r="J113" s="182"/>
      <c r="K113" s="182"/>
      <c r="L113" s="231"/>
      <c r="M113" s="230"/>
      <c r="N113" s="217"/>
    </row>
    <row r="114" spans="1:14" ht="18" x14ac:dyDescent="0.3">
      <c r="A114" s="624"/>
      <c r="B114" s="182">
        <f t="shared" si="20"/>
        <v>17</v>
      </c>
      <c r="C114" s="182">
        <f t="shared" si="20"/>
        <v>5</v>
      </c>
      <c r="D114" s="182" t="str">
        <f t="shared" si="19"/>
        <v>Boisson spécial numéro 5</v>
      </c>
      <c r="E114" s="268">
        <f t="shared" si="21"/>
        <v>2.76</v>
      </c>
      <c r="F114" s="267">
        <f t="shared" si="21"/>
        <v>9.1999999999999993</v>
      </c>
      <c r="G114" s="266">
        <f t="shared" si="22"/>
        <v>0.3</v>
      </c>
      <c r="H114" s="265">
        <f t="shared" si="23"/>
        <v>6.4399999999999995</v>
      </c>
      <c r="I114" s="264"/>
      <c r="J114" s="182"/>
      <c r="K114" s="182"/>
      <c r="L114" s="231"/>
      <c r="M114" s="230"/>
      <c r="N114" s="217"/>
    </row>
    <row r="115" spans="1:14" ht="18" x14ac:dyDescent="0.3">
      <c r="A115" s="624"/>
      <c r="B115" s="182">
        <f t="shared" si="20"/>
        <v>18</v>
      </c>
      <c r="C115" s="182">
        <f t="shared" si="20"/>
        <v>6</v>
      </c>
      <c r="D115" s="182" t="str">
        <f t="shared" si="19"/>
        <v>Boisson spécial numéro 6</v>
      </c>
      <c r="E115" s="268">
        <f t="shared" si="21"/>
        <v>2.8</v>
      </c>
      <c r="F115" s="267">
        <f t="shared" si="21"/>
        <v>9.4</v>
      </c>
      <c r="G115" s="266">
        <f t="shared" si="22"/>
        <v>0.2978723404255319</v>
      </c>
      <c r="H115" s="265">
        <f t="shared" si="23"/>
        <v>6.6000000000000005</v>
      </c>
      <c r="I115" s="264"/>
      <c r="J115" s="182"/>
      <c r="K115" s="182"/>
      <c r="L115" s="231"/>
      <c r="M115" s="230"/>
      <c r="N115" s="217"/>
    </row>
    <row r="116" spans="1:14" ht="18" x14ac:dyDescent="0.3">
      <c r="A116" s="624"/>
      <c r="B116" s="182">
        <f t="shared" si="20"/>
        <v>19</v>
      </c>
      <c r="C116" s="182">
        <f t="shared" si="20"/>
        <v>7</v>
      </c>
      <c r="D116" s="182" t="str">
        <f t="shared" si="19"/>
        <v>Boisson spécial numéro 7</v>
      </c>
      <c r="E116" s="268">
        <f t="shared" si="21"/>
        <v>2.82</v>
      </c>
      <c r="F116" s="267">
        <f t="shared" si="21"/>
        <v>9.6</v>
      </c>
      <c r="G116" s="266">
        <f t="shared" si="22"/>
        <v>0.29375000000000001</v>
      </c>
      <c r="H116" s="265">
        <f t="shared" si="23"/>
        <v>6.7799999999999994</v>
      </c>
      <c r="I116" s="264"/>
      <c r="J116" s="182"/>
      <c r="K116" s="182"/>
      <c r="L116" s="231"/>
      <c r="M116" s="230"/>
      <c r="N116" s="217"/>
    </row>
    <row r="117" spans="1:14" ht="18" x14ac:dyDescent="0.3">
      <c r="A117" s="624"/>
      <c r="B117" s="182">
        <f t="shared" si="20"/>
        <v>20</v>
      </c>
      <c r="C117" s="182">
        <f t="shared" si="20"/>
        <v>8</v>
      </c>
      <c r="D117" s="182" t="str">
        <f t="shared" si="19"/>
        <v>Boisson spécial numéro 8</v>
      </c>
      <c r="E117" s="268">
        <f t="shared" si="21"/>
        <v>2.86</v>
      </c>
      <c r="F117" s="267">
        <f t="shared" si="21"/>
        <v>9.8000000000000007</v>
      </c>
      <c r="G117" s="266">
        <f t="shared" si="22"/>
        <v>0.2918367346938775</v>
      </c>
      <c r="H117" s="265">
        <f t="shared" si="23"/>
        <v>6.9400000000000013</v>
      </c>
      <c r="I117" s="264"/>
      <c r="J117" s="182"/>
      <c r="K117" s="182"/>
      <c r="L117" s="231"/>
      <c r="M117" s="230"/>
      <c r="N117" s="217"/>
    </row>
    <row r="118" spans="1:14" ht="18" x14ac:dyDescent="0.3">
      <c r="A118" s="624"/>
      <c r="B118" s="182">
        <f t="shared" si="20"/>
        <v>21</v>
      </c>
      <c r="C118" s="182">
        <f t="shared" si="20"/>
        <v>9</v>
      </c>
      <c r="D118" s="182" t="str">
        <f t="shared" si="19"/>
        <v>Boisson spécial numéro 9</v>
      </c>
      <c r="E118" s="268">
        <f t="shared" si="21"/>
        <v>2.9</v>
      </c>
      <c r="F118" s="267">
        <f t="shared" si="21"/>
        <v>10</v>
      </c>
      <c r="G118" s="266">
        <f t="shared" si="22"/>
        <v>0.28999999999999998</v>
      </c>
      <c r="H118" s="265">
        <f t="shared" si="23"/>
        <v>7.1</v>
      </c>
      <c r="I118" s="264"/>
      <c r="J118" s="182"/>
      <c r="K118" s="182"/>
      <c r="L118" s="231"/>
      <c r="M118" s="230"/>
      <c r="N118" s="217"/>
    </row>
    <row r="119" spans="1:14" ht="18" x14ac:dyDescent="0.3">
      <c r="A119" s="624"/>
      <c r="B119" s="182">
        <f t="shared" si="20"/>
        <v>22</v>
      </c>
      <c r="C119" s="182">
        <f t="shared" si="20"/>
        <v>10</v>
      </c>
      <c r="D119" s="182" t="str">
        <f t="shared" si="19"/>
        <v>Boisson spécial numéro 10</v>
      </c>
      <c r="E119" s="268">
        <f t="shared" si="21"/>
        <v>2.98</v>
      </c>
      <c r="F119" s="267">
        <f t="shared" si="21"/>
        <v>10.4</v>
      </c>
      <c r="G119" s="266">
        <f t="shared" si="22"/>
        <v>0.28653846153846152</v>
      </c>
      <c r="H119" s="265">
        <f t="shared" si="23"/>
        <v>7.42</v>
      </c>
      <c r="I119" s="264"/>
      <c r="J119" s="182"/>
      <c r="K119" s="182"/>
      <c r="L119" s="231"/>
      <c r="M119" s="230"/>
      <c r="N119" s="217"/>
    </row>
    <row r="120" spans="1:14" ht="18" x14ac:dyDescent="0.3">
      <c r="A120" s="624"/>
      <c r="B120" s="182">
        <f t="shared" si="20"/>
        <v>23</v>
      </c>
      <c r="C120" s="182">
        <f t="shared" si="20"/>
        <v>11</v>
      </c>
      <c r="D120" s="182" t="str">
        <f t="shared" si="19"/>
        <v>Boisson spécial numéro 11</v>
      </c>
      <c r="E120" s="268">
        <f t="shared" si="21"/>
        <v>3.18</v>
      </c>
      <c r="F120" s="267">
        <f t="shared" si="21"/>
        <v>11.6</v>
      </c>
      <c r="G120" s="266">
        <f t="shared" si="22"/>
        <v>0.27413793103448281</v>
      </c>
      <c r="H120" s="265">
        <f t="shared" si="23"/>
        <v>8.42</v>
      </c>
      <c r="I120" s="264"/>
      <c r="J120" s="182"/>
      <c r="K120" s="182"/>
      <c r="L120" s="231"/>
      <c r="M120" s="230"/>
      <c r="N120" s="217"/>
    </row>
    <row r="121" spans="1:14" ht="18" x14ac:dyDescent="0.3">
      <c r="A121" s="624"/>
      <c r="B121" s="182">
        <f t="shared" si="20"/>
        <v>24</v>
      </c>
      <c r="C121" s="182">
        <f t="shared" si="20"/>
        <v>12</v>
      </c>
      <c r="D121" s="182" t="str">
        <f t="shared" si="19"/>
        <v>Boisson spécial numéro 12</v>
      </c>
      <c r="E121" s="268">
        <f t="shared" si="21"/>
        <v>3.48</v>
      </c>
      <c r="F121" s="267">
        <f t="shared" si="21"/>
        <v>13.2</v>
      </c>
      <c r="G121" s="266">
        <f t="shared" si="22"/>
        <v>0.26363636363636367</v>
      </c>
      <c r="H121" s="265">
        <f t="shared" si="23"/>
        <v>9.7199999999999989</v>
      </c>
      <c r="I121" s="264"/>
      <c r="J121" s="182"/>
      <c r="K121" s="182"/>
      <c r="L121" s="231"/>
      <c r="M121" s="230"/>
      <c r="N121" s="217"/>
    </row>
    <row r="122" spans="1:14" ht="19" x14ac:dyDescent="0.35">
      <c r="A122" s="624"/>
      <c r="B122" s="182"/>
      <c r="C122" s="182"/>
      <c r="D122" s="241" t="str">
        <f t="shared" si="19"/>
        <v>CmO—PmO—Beverage Cost—Marge brute</v>
      </c>
      <c r="E122" s="262">
        <f>SUM(E110:E121)/C121</f>
        <v>2.8483333333333332</v>
      </c>
      <c r="F122" s="262">
        <f>SUM(F110:F121)/C121</f>
        <v>9.5333333333333332</v>
      </c>
      <c r="G122" s="261">
        <f t="shared" si="22"/>
        <v>0.29877622377622376</v>
      </c>
      <c r="H122" s="260">
        <f t="shared" si="23"/>
        <v>6.6850000000000005</v>
      </c>
      <c r="I122" s="259"/>
      <c r="J122" s="182"/>
      <c r="K122" s="182"/>
      <c r="L122" s="291">
        <v>1</v>
      </c>
      <c r="M122" s="230" t="s">
        <v>1</v>
      </c>
      <c r="N122" s="217"/>
    </row>
    <row r="123" spans="1:14" ht="19" thickBot="1" x14ac:dyDescent="0.35">
      <c r="A123" s="624"/>
      <c r="B123" s="182"/>
      <c r="C123" s="182"/>
      <c r="D123" s="182"/>
      <c r="E123" s="245"/>
      <c r="F123" s="245"/>
      <c r="G123" s="244"/>
      <c r="H123" s="243"/>
      <c r="I123" s="182"/>
      <c r="J123" s="182"/>
      <c r="K123" s="182"/>
      <c r="L123" s="231"/>
      <c r="M123" s="230"/>
      <c r="N123" s="217"/>
    </row>
    <row r="124" spans="1:14" ht="21" thickTop="1" thickBot="1" x14ac:dyDescent="0.4">
      <c r="A124" s="624"/>
      <c r="B124" s="182"/>
      <c r="C124" s="256"/>
      <c r="D124" s="255"/>
      <c r="E124" s="254"/>
      <c r="F124" s="254"/>
      <c r="G124" s="253"/>
      <c r="H124" s="252"/>
      <c r="I124" s="251"/>
      <c r="J124" s="182"/>
      <c r="K124" s="182"/>
      <c r="L124" s="231"/>
      <c r="M124" s="230"/>
      <c r="N124" s="217"/>
    </row>
    <row r="125" spans="1:14" ht="20" thickTop="1" thickBot="1" x14ac:dyDescent="0.35">
      <c r="A125" s="624"/>
      <c r="B125" s="182"/>
      <c r="C125" s="236"/>
      <c r="D125" s="241"/>
      <c r="E125" s="250" t="str">
        <f>E82</f>
        <v>CmO</v>
      </c>
      <c r="F125" s="250" t="str">
        <f>F82</f>
        <v>PmO</v>
      </c>
      <c r="G125" s="249" t="str">
        <f>G82</f>
        <v>F&amp;BCmO</v>
      </c>
      <c r="H125" s="248" t="str">
        <f>H82</f>
        <v>BmO</v>
      </c>
      <c r="I125" s="247"/>
      <c r="J125" s="182"/>
      <c r="K125" s="182"/>
      <c r="L125" s="231"/>
      <c r="M125" s="230"/>
      <c r="N125" s="217"/>
    </row>
    <row r="126" spans="1:14" ht="19" thickTop="1" x14ac:dyDescent="0.3">
      <c r="A126" s="624"/>
      <c r="B126" s="182"/>
      <c r="C126" s="236"/>
      <c r="D126" s="246" t="str">
        <f>D83</f>
        <v>OFFRE TOTALE AVEC LES GÂTERIES ET LES CAFÉS GÂTERIES</v>
      </c>
      <c r="E126" s="245"/>
      <c r="F126" s="245"/>
      <c r="G126" s="244"/>
      <c r="H126" s="243"/>
      <c r="I126" s="242"/>
      <c r="J126" s="182"/>
      <c r="K126" s="182"/>
      <c r="L126" s="231"/>
      <c r="M126" s="230"/>
      <c r="N126" s="217"/>
    </row>
    <row r="127" spans="1:14" ht="19" x14ac:dyDescent="0.35">
      <c r="A127" s="624"/>
      <c r="B127" s="182"/>
      <c r="C127" s="236"/>
      <c r="D127" s="241" t="str">
        <f>D84</f>
        <v>CmO—PmO—F&amp;B cost moyen offert—Marge brute</v>
      </c>
      <c r="E127" s="240">
        <f>+(E95+E96+E97+E98+E99+E100+E101+E102+E103+E104+E105+E106+E110+E111+E112+E113+E114+E115+E116+E117+E118+E119+E120+E121)/B121</f>
        <v>2.1649999999999996</v>
      </c>
      <c r="F127" s="240">
        <f>+(F95+F96+F97+F98+F99+F100+F101+F102+F103+F104+F105+F106+F110+F111+F112+F113+F114+F115+F116+F117+F118+F119+F120+F121)/B121</f>
        <v>7.1749999999999998</v>
      </c>
      <c r="G127" s="239">
        <f>E127/F127</f>
        <v>0.30174216027874562</v>
      </c>
      <c r="H127" s="238">
        <f>F127-E127</f>
        <v>5.01</v>
      </c>
      <c r="I127" s="237"/>
      <c r="J127" s="182"/>
      <c r="K127" s="182"/>
      <c r="L127" s="231">
        <f>L84</f>
        <v>2</v>
      </c>
      <c r="M127" s="230">
        <f>'% Occupation'!F19</f>
        <v>196</v>
      </c>
      <c r="N127" s="217"/>
    </row>
    <row r="128" spans="1:14" ht="18" x14ac:dyDescent="0.3">
      <c r="A128" s="624"/>
      <c r="B128" s="182"/>
      <c r="C128" s="236"/>
      <c r="D128" s="182"/>
      <c r="E128" s="235"/>
      <c r="F128" s="235"/>
      <c r="G128" s="234"/>
      <c r="H128" s="233"/>
      <c r="I128" s="232"/>
      <c r="J128" s="182"/>
      <c r="K128" s="182"/>
      <c r="L128" s="231"/>
      <c r="M128" s="230"/>
      <c r="N128" s="217"/>
    </row>
    <row r="129" spans="1:14" ht="19" thickBot="1" x14ac:dyDescent="0.35">
      <c r="A129" s="624"/>
      <c r="B129" s="182"/>
      <c r="C129" s="229"/>
      <c r="D129" s="228"/>
      <c r="E129" s="227"/>
      <c r="F129" s="227"/>
      <c r="G129" s="226"/>
      <c r="H129" s="225"/>
      <c r="I129" s="224"/>
      <c r="J129" s="182"/>
      <c r="K129" s="182"/>
      <c r="L129" s="223"/>
      <c r="M129" s="222"/>
      <c r="N129" s="217"/>
    </row>
    <row r="130" spans="1:14" ht="19" thickTop="1" x14ac:dyDescent="0.3">
      <c r="A130" s="624"/>
      <c r="B130" s="295"/>
      <c r="C130" s="295"/>
      <c r="D130" s="295"/>
      <c r="E130" s="295"/>
      <c r="F130" s="295"/>
      <c r="G130" s="295"/>
      <c r="H130" s="295"/>
      <c r="I130" s="295"/>
      <c r="J130" s="182"/>
      <c r="K130" s="182"/>
      <c r="L130" s="289"/>
      <c r="M130" s="288"/>
      <c r="N130" s="217"/>
    </row>
    <row r="131" spans="1:14" ht="23" x14ac:dyDescent="0.3">
      <c r="A131" s="624"/>
      <c r="D131" s="287" t="s">
        <v>96</v>
      </c>
      <c r="F131" s="283"/>
      <c r="L131" s="289"/>
      <c r="M131" s="288"/>
      <c r="N131" s="217"/>
    </row>
    <row r="132" spans="1:14" ht="24" thickBot="1" x14ac:dyDescent="0.35">
      <c r="A132" s="624"/>
      <c r="D132" s="285"/>
      <c r="L132" s="289"/>
      <c r="M132" s="288"/>
      <c r="N132" s="217"/>
    </row>
    <row r="133" spans="1:14" ht="23" customHeight="1" thickTop="1" x14ac:dyDescent="0.25">
      <c r="A133" s="624"/>
      <c r="D133" s="285"/>
      <c r="E133" s="604" t="str">
        <f>E90</f>
        <v>Coûts des ressources alimentaires pour chaque produit offert (voir recettes standardisées)</v>
      </c>
      <c r="F133" s="604" t="str">
        <f>F90</f>
        <v>Prix de vente par produit offert</v>
      </c>
      <c r="G133" s="604" t="str">
        <f>G90</f>
        <v xml:space="preserve">« Food &amp; Beverage Cost » </v>
      </c>
      <c r="H133" s="604" t="str">
        <f>H90</f>
        <v>Marge brute gagnée sur la vente de chaque produit offert</v>
      </c>
      <c r="I133" s="286"/>
      <c r="L133" s="613" t="s">
        <v>84</v>
      </c>
      <c r="M133" s="613" t="s">
        <v>83</v>
      </c>
      <c r="N133" s="217"/>
    </row>
    <row r="134" spans="1:14" ht="22" x14ac:dyDescent="0.25">
      <c r="A134" s="624"/>
      <c r="D134" s="285"/>
      <c r="E134" s="605"/>
      <c r="F134" s="607"/>
      <c r="G134" s="607"/>
      <c r="H134" s="607"/>
      <c r="I134" s="284"/>
      <c r="L134" s="614"/>
      <c r="M134" s="616"/>
      <c r="N134" s="217"/>
    </row>
    <row r="135" spans="1:14" ht="17" thickBot="1" x14ac:dyDescent="0.25">
      <c r="A135" s="624"/>
      <c r="E135" s="606"/>
      <c r="F135" s="608"/>
      <c r="G135" s="608"/>
      <c r="H135" s="608"/>
      <c r="I135" s="284"/>
      <c r="L135" s="615"/>
      <c r="M135" s="617"/>
      <c r="N135" s="217"/>
    </row>
    <row r="136" spans="1:14" ht="20" thickTop="1" thickBot="1" x14ac:dyDescent="0.35">
      <c r="A136" s="624"/>
      <c r="B136" s="149" t="s">
        <v>1</v>
      </c>
      <c r="E136" s="283"/>
      <c r="F136" s="283"/>
      <c r="G136" s="282"/>
      <c r="L136" s="289"/>
      <c r="M136" s="288"/>
      <c r="N136" s="217"/>
    </row>
    <row r="137" spans="1:14" ht="19" thickTop="1" x14ac:dyDescent="0.3">
      <c r="A137" s="624"/>
      <c r="B137" s="182"/>
      <c r="C137" s="182"/>
      <c r="D137" s="241" t="str">
        <f t="shared" ref="D137:D150" si="24">D94</f>
        <v>Les Petite Gâteries</v>
      </c>
      <c r="E137" s="264"/>
      <c r="F137" s="264"/>
      <c r="G137" s="244"/>
      <c r="H137" s="182"/>
      <c r="I137" s="182"/>
      <c r="J137" s="182"/>
      <c r="K137" s="182"/>
      <c r="L137" s="281"/>
      <c r="M137" s="280"/>
      <c r="N137" s="217"/>
    </row>
    <row r="138" spans="1:14" ht="18" x14ac:dyDescent="0.3">
      <c r="A138" s="624"/>
      <c r="B138" s="182">
        <f t="shared" ref="B138:C149" si="25">B95</f>
        <v>1</v>
      </c>
      <c r="C138" s="182">
        <f t="shared" si="25"/>
        <v>1</v>
      </c>
      <c r="D138" s="182" t="str">
        <f t="shared" si="24"/>
        <v>Petite Gâterie 1</v>
      </c>
      <c r="E138" s="268">
        <f t="shared" ref="E138:E149" si="26">E95</f>
        <v>1.21</v>
      </c>
      <c r="F138" s="276">
        <v>3.3</v>
      </c>
      <c r="G138" s="266">
        <f t="shared" ref="G138:G150" si="27">E138/F138</f>
        <v>0.3666666666666667</v>
      </c>
      <c r="H138" s="265">
        <f t="shared" ref="H138:H150" si="28">F138-E138</f>
        <v>2.09</v>
      </c>
      <c r="I138" s="264">
        <f>F138</f>
        <v>3.3</v>
      </c>
      <c r="J138" s="618">
        <f>3/12</f>
        <v>0.25</v>
      </c>
      <c r="K138" s="269"/>
      <c r="L138" s="279"/>
      <c r="M138" s="230"/>
      <c r="N138" s="217"/>
    </row>
    <row r="139" spans="1:14" ht="18" x14ac:dyDescent="0.3">
      <c r="A139" s="624"/>
      <c r="B139" s="182">
        <f t="shared" si="25"/>
        <v>2</v>
      </c>
      <c r="C139" s="182">
        <f t="shared" si="25"/>
        <v>2</v>
      </c>
      <c r="D139" s="182" t="str">
        <f t="shared" si="24"/>
        <v>Petite Gâterie 2</v>
      </c>
      <c r="E139" s="268">
        <f t="shared" si="26"/>
        <v>1.31</v>
      </c>
      <c r="F139" s="276">
        <f t="shared" ref="F139:F149" si="29">F96</f>
        <v>3.8</v>
      </c>
      <c r="G139" s="266">
        <f t="shared" si="27"/>
        <v>0.34473684210526317</v>
      </c>
      <c r="H139" s="265">
        <f t="shared" si="28"/>
        <v>2.4899999999999998</v>
      </c>
      <c r="I139" s="264"/>
      <c r="J139" s="610"/>
      <c r="K139" s="263"/>
      <c r="L139" s="231"/>
      <c r="M139" s="230"/>
      <c r="N139" s="217"/>
    </row>
    <row r="140" spans="1:14" ht="19" thickBot="1" x14ac:dyDescent="0.35">
      <c r="A140" s="624"/>
      <c r="B140" s="275">
        <f t="shared" si="25"/>
        <v>3</v>
      </c>
      <c r="C140" s="275">
        <f t="shared" si="25"/>
        <v>3</v>
      </c>
      <c r="D140" s="275" t="str">
        <f t="shared" si="24"/>
        <v>Petite Gâterie 3</v>
      </c>
      <c r="E140" s="274">
        <f t="shared" si="26"/>
        <v>1.35</v>
      </c>
      <c r="F140" s="278">
        <f t="shared" si="29"/>
        <v>4</v>
      </c>
      <c r="G140" s="272">
        <f t="shared" si="27"/>
        <v>0.33750000000000002</v>
      </c>
      <c r="H140" s="271">
        <f t="shared" si="28"/>
        <v>2.65</v>
      </c>
      <c r="I140" s="270">
        <f>+I138+1.066667</f>
        <v>4.3666669999999996</v>
      </c>
      <c r="J140" s="619"/>
      <c r="K140" s="263"/>
      <c r="L140" s="231"/>
      <c r="M140" s="230"/>
      <c r="N140" s="217"/>
    </row>
    <row r="141" spans="1:14" ht="18" x14ac:dyDescent="0.3">
      <c r="A141" s="624"/>
      <c r="B141" s="182">
        <f t="shared" si="25"/>
        <v>4</v>
      </c>
      <c r="C141" s="182">
        <f t="shared" si="25"/>
        <v>4</v>
      </c>
      <c r="D141" s="182" t="str">
        <f t="shared" si="24"/>
        <v>Petite Gâterie 4</v>
      </c>
      <c r="E141" s="268">
        <f t="shared" si="26"/>
        <v>1.4</v>
      </c>
      <c r="F141" s="276">
        <f t="shared" si="29"/>
        <v>4.5</v>
      </c>
      <c r="G141" s="266">
        <f t="shared" si="27"/>
        <v>0.31111111111111112</v>
      </c>
      <c r="H141" s="265">
        <f t="shared" si="28"/>
        <v>3.1</v>
      </c>
      <c r="I141" s="264">
        <f>+I140+0.01</f>
        <v>4.3766669999999994</v>
      </c>
      <c r="J141" s="609">
        <f>7/12</f>
        <v>0.58333333333333337</v>
      </c>
      <c r="K141" s="269"/>
      <c r="L141" s="231"/>
      <c r="M141" s="230"/>
      <c r="N141" s="217"/>
    </row>
    <row r="142" spans="1:14" ht="18" x14ac:dyDescent="0.3">
      <c r="A142" s="624"/>
      <c r="B142" s="182">
        <f t="shared" si="25"/>
        <v>5</v>
      </c>
      <c r="C142" s="182">
        <f t="shared" si="25"/>
        <v>5</v>
      </c>
      <c r="D142" s="182" t="str">
        <f t="shared" si="24"/>
        <v>Petite Gâterie 5</v>
      </c>
      <c r="E142" s="268">
        <f t="shared" si="26"/>
        <v>1.24</v>
      </c>
      <c r="F142" s="276">
        <f t="shared" si="29"/>
        <v>4.5999999999999996</v>
      </c>
      <c r="G142" s="266">
        <f t="shared" si="27"/>
        <v>0.26956521739130435</v>
      </c>
      <c r="H142" s="265">
        <f t="shared" si="28"/>
        <v>3.3599999999999994</v>
      </c>
      <c r="I142" s="264"/>
      <c r="J142" s="610"/>
      <c r="K142" s="263"/>
      <c r="L142" s="231"/>
      <c r="M142" s="230"/>
      <c r="N142" s="217"/>
    </row>
    <row r="143" spans="1:14" ht="18" x14ac:dyDescent="0.3">
      <c r="A143" s="624"/>
      <c r="B143" s="182">
        <f t="shared" si="25"/>
        <v>6</v>
      </c>
      <c r="C143" s="182">
        <f t="shared" si="25"/>
        <v>6</v>
      </c>
      <c r="D143" s="182" t="str">
        <f t="shared" si="24"/>
        <v>Petite Gâterie 6</v>
      </c>
      <c r="E143" s="268">
        <f t="shared" si="26"/>
        <v>1.39</v>
      </c>
      <c r="F143" s="276">
        <f t="shared" si="29"/>
        <v>4.7</v>
      </c>
      <c r="G143" s="266">
        <f t="shared" si="27"/>
        <v>0.29574468085106381</v>
      </c>
      <c r="H143" s="265">
        <f t="shared" si="28"/>
        <v>3.3100000000000005</v>
      </c>
      <c r="I143" s="264"/>
      <c r="J143" s="610"/>
      <c r="K143" s="263"/>
      <c r="L143" s="231"/>
      <c r="M143" s="230"/>
      <c r="N143" s="217"/>
    </row>
    <row r="144" spans="1:14" ht="18" x14ac:dyDescent="0.3">
      <c r="A144" s="624"/>
      <c r="B144" s="182">
        <f t="shared" si="25"/>
        <v>7</v>
      </c>
      <c r="C144" s="182">
        <f t="shared" si="25"/>
        <v>7</v>
      </c>
      <c r="D144" s="182" t="str">
        <f t="shared" si="24"/>
        <v>Petite Gâterie 7</v>
      </c>
      <c r="E144" s="268">
        <f t="shared" si="26"/>
        <v>1.51</v>
      </c>
      <c r="F144" s="276">
        <f t="shared" si="29"/>
        <v>4.8</v>
      </c>
      <c r="G144" s="266">
        <f t="shared" si="27"/>
        <v>0.31458333333333333</v>
      </c>
      <c r="H144" s="265">
        <f t="shared" si="28"/>
        <v>3.29</v>
      </c>
      <c r="I144" s="264"/>
      <c r="J144" s="610"/>
      <c r="K144" s="263"/>
      <c r="L144" s="231"/>
      <c r="M144" s="230"/>
      <c r="N144" s="217"/>
    </row>
    <row r="145" spans="1:14" ht="18" x14ac:dyDescent="0.3">
      <c r="A145" s="624"/>
      <c r="B145" s="182">
        <f t="shared" si="25"/>
        <v>8</v>
      </c>
      <c r="C145" s="182">
        <f t="shared" si="25"/>
        <v>8</v>
      </c>
      <c r="D145" s="182" t="str">
        <f t="shared" si="24"/>
        <v>Petite Gâterie 8</v>
      </c>
      <c r="E145" s="268">
        <f t="shared" si="26"/>
        <v>1.53</v>
      </c>
      <c r="F145" s="276">
        <f t="shared" si="29"/>
        <v>4.9000000000000004</v>
      </c>
      <c r="G145" s="266">
        <f t="shared" si="27"/>
        <v>0.31224489795918364</v>
      </c>
      <c r="H145" s="265">
        <f t="shared" si="28"/>
        <v>3.37</v>
      </c>
      <c r="I145" s="264"/>
      <c r="J145" s="610"/>
      <c r="K145" s="263"/>
      <c r="L145" s="231"/>
      <c r="M145" s="230"/>
      <c r="N145" s="217"/>
    </row>
    <row r="146" spans="1:14" ht="18" x14ac:dyDescent="0.3">
      <c r="A146" s="624"/>
      <c r="B146" s="182">
        <f t="shared" si="25"/>
        <v>9</v>
      </c>
      <c r="C146" s="182">
        <f t="shared" si="25"/>
        <v>9</v>
      </c>
      <c r="D146" s="182" t="str">
        <f t="shared" si="24"/>
        <v>Petite Gâterie 9</v>
      </c>
      <c r="E146" s="268">
        <f t="shared" si="26"/>
        <v>1.55</v>
      </c>
      <c r="F146" s="276">
        <f t="shared" si="29"/>
        <v>5</v>
      </c>
      <c r="G146" s="266">
        <f t="shared" si="27"/>
        <v>0.31</v>
      </c>
      <c r="H146" s="265">
        <f t="shared" si="28"/>
        <v>3.45</v>
      </c>
      <c r="I146" s="264"/>
      <c r="J146" s="610"/>
      <c r="K146" s="263"/>
      <c r="L146" s="231"/>
      <c r="M146" s="230"/>
      <c r="N146" s="217"/>
    </row>
    <row r="147" spans="1:14" ht="19" thickBot="1" x14ac:dyDescent="0.35">
      <c r="A147" s="624"/>
      <c r="B147" s="275">
        <f t="shared" si="25"/>
        <v>10</v>
      </c>
      <c r="C147" s="275">
        <f t="shared" si="25"/>
        <v>10</v>
      </c>
      <c r="D147" s="275" t="str">
        <f t="shared" si="24"/>
        <v>Petite Gâterie 10</v>
      </c>
      <c r="E147" s="274">
        <f t="shared" si="26"/>
        <v>1.59</v>
      </c>
      <c r="F147" s="278">
        <f t="shared" si="29"/>
        <v>5.2</v>
      </c>
      <c r="G147" s="272">
        <f t="shared" si="27"/>
        <v>0.30576923076923079</v>
      </c>
      <c r="H147" s="271">
        <f t="shared" si="28"/>
        <v>3.6100000000000003</v>
      </c>
      <c r="I147" s="270">
        <f>+I140+1.066667</f>
        <v>5.4333339999999994</v>
      </c>
      <c r="J147" s="619"/>
      <c r="K147" s="263"/>
      <c r="L147" s="231"/>
      <c r="M147" s="230"/>
      <c r="N147" s="217"/>
    </row>
    <row r="148" spans="1:14" ht="18" x14ac:dyDescent="0.3">
      <c r="A148" s="624"/>
      <c r="B148" s="182">
        <f t="shared" si="25"/>
        <v>11</v>
      </c>
      <c r="C148" s="182">
        <f t="shared" si="25"/>
        <v>11</v>
      </c>
      <c r="D148" s="182" t="str">
        <f t="shared" si="24"/>
        <v>Petite Gâterie 11</v>
      </c>
      <c r="E148" s="268">
        <f t="shared" si="26"/>
        <v>1.83</v>
      </c>
      <c r="F148" s="276">
        <f t="shared" si="29"/>
        <v>6.4</v>
      </c>
      <c r="G148" s="266">
        <f t="shared" si="27"/>
        <v>0.28593750000000001</v>
      </c>
      <c r="H148" s="265">
        <f t="shared" si="28"/>
        <v>4.57</v>
      </c>
      <c r="I148" s="264">
        <f>+I147+0.01</f>
        <v>5.4433339999999992</v>
      </c>
      <c r="J148" s="609">
        <f>2/12</f>
        <v>0.16666666666666666</v>
      </c>
      <c r="K148" s="269"/>
      <c r="L148" s="231"/>
      <c r="M148" s="230"/>
      <c r="N148" s="217"/>
    </row>
    <row r="149" spans="1:14" ht="18" x14ac:dyDescent="0.3">
      <c r="A149" s="624"/>
      <c r="B149" s="182">
        <f t="shared" si="25"/>
        <v>12</v>
      </c>
      <c r="C149" s="182">
        <f t="shared" si="25"/>
        <v>12</v>
      </c>
      <c r="D149" s="182" t="str">
        <f t="shared" si="24"/>
        <v>Petite Gâterie 12</v>
      </c>
      <c r="E149" s="268">
        <f t="shared" si="26"/>
        <v>1.87</v>
      </c>
      <c r="F149" s="276">
        <f t="shared" si="29"/>
        <v>6.6</v>
      </c>
      <c r="G149" s="266">
        <f t="shared" si="27"/>
        <v>0.28333333333333338</v>
      </c>
      <c r="H149" s="265">
        <f t="shared" si="28"/>
        <v>4.7299999999999995</v>
      </c>
      <c r="I149" s="264">
        <f>F149</f>
        <v>6.6</v>
      </c>
      <c r="J149" s="610"/>
      <c r="K149" s="263"/>
      <c r="L149" s="231"/>
      <c r="M149" s="230"/>
      <c r="N149" s="217"/>
    </row>
    <row r="150" spans="1:14" ht="19" x14ac:dyDescent="0.35">
      <c r="A150" s="624"/>
      <c r="B150" s="182"/>
      <c r="C150" s="182"/>
      <c r="D150" s="241" t="str">
        <f t="shared" si="24"/>
        <v>CmO—PmO—Food Cost—BmO</v>
      </c>
      <c r="E150" s="262">
        <f>SUM(E138:E149)/C149</f>
        <v>1.4816666666666667</v>
      </c>
      <c r="F150" s="294">
        <f>SUM(F138:F149)/C149</f>
        <v>4.8166666666666673</v>
      </c>
      <c r="G150" s="277">
        <f t="shared" si="27"/>
        <v>0.30761245674740478</v>
      </c>
      <c r="H150" s="260">
        <f t="shared" si="28"/>
        <v>3.3350000000000009</v>
      </c>
      <c r="I150" s="259"/>
      <c r="J150" s="182"/>
      <c r="K150" s="182"/>
      <c r="L150" s="291">
        <v>1</v>
      </c>
      <c r="M150" s="230" t="s">
        <v>1</v>
      </c>
      <c r="N150" s="217"/>
    </row>
    <row r="151" spans="1:14" ht="18" x14ac:dyDescent="0.3">
      <c r="A151" s="624"/>
      <c r="B151" s="182" t="s">
        <v>1</v>
      </c>
      <c r="C151" s="182"/>
      <c r="D151" s="182"/>
      <c r="E151" s="245"/>
      <c r="F151" s="293"/>
      <c r="G151" s="266"/>
      <c r="H151" s="243"/>
      <c r="I151" s="264"/>
      <c r="J151" s="182"/>
      <c r="K151" s="182"/>
      <c r="L151" s="231"/>
      <c r="M151" s="230"/>
      <c r="N151" s="217"/>
    </row>
    <row r="152" spans="1:14" ht="18" x14ac:dyDescent="0.3">
      <c r="A152" s="624"/>
      <c r="B152" s="182"/>
      <c r="C152" s="182"/>
      <c r="D152" s="241" t="str">
        <f t="shared" ref="D152:D165" si="30">D109</f>
        <v>Les Boissons  Gâteries</v>
      </c>
      <c r="E152" s="245"/>
      <c r="F152" s="293"/>
      <c r="G152" s="266"/>
      <c r="H152" s="243"/>
      <c r="I152" s="264"/>
      <c r="J152" s="182"/>
      <c r="K152" s="182"/>
      <c r="L152" s="231"/>
      <c r="M152" s="230"/>
      <c r="N152" s="217"/>
    </row>
    <row r="153" spans="1:14" ht="18" x14ac:dyDescent="0.3">
      <c r="A153" s="624"/>
      <c r="B153" s="182">
        <f t="shared" ref="B153:C164" si="31">B110</f>
        <v>13</v>
      </c>
      <c r="C153" s="182">
        <f t="shared" si="31"/>
        <v>1</v>
      </c>
      <c r="D153" s="182" t="str">
        <f t="shared" si="30"/>
        <v>Boisson spécial numéro 1</v>
      </c>
      <c r="E153" s="268">
        <f t="shared" ref="E153:F164" si="32">E110</f>
        <v>2.2799999999999998</v>
      </c>
      <c r="F153" s="276">
        <f t="shared" si="32"/>
        <v>6.6</v>
      </c>
      <c r="G153" s="266">
        <f t="shared" ref="G153:G165" si="33">E153/F153</f>
        <v>0.34545454545454546</v>
      </c>
      <c r="H153" s="265">
        <f t="shared" ref="H153:H165" si="34">F153-E153</f>
        <v>4.32</v>
      </c>
      <c r="I153" s="264">
        <f>F153</f>
        <v>6.6</v>
      </c>
      <c r="J153" s="618">
        <f>3/12</f>
        <v>0.25</v>
      </c>
      <c r="K153" s="269"/>
      <c r="L153" s="231"/>
      <c r="M153" s="230"/>
      <c r="N153" s="217"/>
    </row>
    <row r="154" spans="1:14" ht="18" x14ac:dyDescent="0.3">
      <c r="A154" s="624"/>
      <c r="B154" s="182">
        <f t="shared" si="31"/>
        <v>14</v>
      </c>
      <c r="C154" s="182">
        <f t="shared" si="31"/>
        <v>2</v>
      </c>
      <c r="D154" s="182" t="str">
        <f t="shared" si="30"/>
        <v>Boisson spécial numéro 2</v>
      </c>
      <c r="E154" s="268">
        <f t="shared" si="32"/>
        <v>2.66</v>
      </c>
      <c r="F154" s="276">
        <f t="shared" si="32"/>
        <v>7.6</v>
      </c>
      <c r="G154" s="266">
        <f t="shared" si="33"/>
        <v>0.35000000000000003</v>
      </c>
      <c r="H154" s="265">
        <f t="shared" si="34"/>
        <v>4.9399999999999995</v>
      </c>
      <c r="I154" s="264"/>
      <c r="J154" s="610"/>
      <c r="K154" s="263"/>
      <c r="L154" s="231"/>
      <c r="M154" s="230"/>
      <c r="N154" s="217"/>
    </row>
    <row r="155" spans="1:14" ht="19" thickBot="1" x14ac:dyDescent="0.35">
      <c r="A155" s="624"/>
      <c r="B155" s="275">
        <f t="shared" si="31"/>
        <v>15</v>
      </c>
      <c r="C155" s="275">
        <f t="shared" si="31"/>
        <v>3</v>
      </c>
      <c r="D155" s="275" t="str">
        <f t="shared" si="30"/>
        <v>Boisson spécial numéro 3</v>
      </c>
      <c r="E155" s="274">
        <f t="shared" si="32"/>
        <v>2.74</v>
      </c>
      <c r="F155" s="278">
        <f t="shared" si="32"/>
        <v>8</v>
      </c>
      <c r="G155" s="272">
        <f t="shared" si="33"/>
        <v>0.34250000000000003</v>
      </c>
      <c r="H155" s="271">
        <f t="shared" si="34"/>
        <v>5.26</v>
      </c>
      <c r="I155" s="270">
        <f>+I153+2.166667</f>
        <v>8.766667</v>
      </c>
      <c r="J155" s="619"/>
      <c r="K155" s="263"/>
      <c r="L155" s="231"/>
      <c r="M155" s="230"/>
      <c r="N155" s="217"/>
    </row>
    <row r="156" spans="1:14" ht="18" x14ac:dyDescent="0.3">
      <c r="A156" s="624"/>
      <c r="B156" s="182">
        <f t="shared" si="31"/>
        <v>16</v>
      </c>
      <c r="C156" s="182">
        <f t="shared" si="31"/>
        <v>4</v>
      </c>
      <c r="D156" s="182" t="str">
        <f t="shared" si="30"/>
        <v>Boisson spécial numéro 4</v>
      </c>
      <c r="E156" s="268">
        <f t="shared" si="32"/>
        <v>2.72</v>
      </c>
      <c r="F156" s="276">
        <f t="shared" si="32"/>
        <v>9</v>
      </c>
      <c r="G156" s="266">
        <f t="shared" si="33"/>
        <v>0.30222222222222223</v>
      </c>
      <c r="H156" s="265">
        <f t="shared" si="34"/>
        <v>6.2799999999999994</v>
      </c>
      <c r="I156" s="264">
        <f>+I155+0.01</f>
        <v>8.7766669999999998</v>
      </c>
      <c r="J156" s="609">
        <f>7/12</f>
        <v>0.58333333333333337</v>
      </c>
      <c r="K156" s="269"/>
      <c r="L156" s="231"/>
      <c r="M156" s="230"/>
      <c r="N156" s="217"/>
    </row>
    <row r="157" spans="1:14" ht="18" x14ac:dyDescent="0.3">
      <c r="A157" s="624"/>
      <c r="B157" s="182">
        <f t="shared" si="31"/>
        <v>17</v>
      </c>
      <c r="C157" s="182">
        <f t="shared" si="31"/>
        <v>5</v>
      </c>
      <c r="D157" s="182" t="str">
        <f t="shared" si="30"/>
        <v>Boisson spécial numéro 5</v>
      </c>
      <c r="E157" s="268">
        <f t="shared" si="32"/>
        <v>2.76</v>
      </c>
      <c r="F157" s="276">
        <f t="shared" si="32"/>
        <v>9.1999999999999993</v>
      </c>
      <c r="G157" s="266">
        <f t="shared" si="33"/>
        <v>0.3</v>
      </c>
      <c r="H157" s="265">
        <f t="shared" si="34"/>
        <v>6.4399999999999995</v>
      </c>
      <c r="I157" s="264"/>
      <c r="J157" s="610"/>
      <c r="K157" s="263"/>
      <c r="L157" s="231"/>
      <c r="M157" s="230"/>
      <c r="N157" s="217"/>
    </row>
    <row r="158" spans="1:14" ht="18" x14ac:dyDescent="0.3">
      <c r="A158" s="624"/>
      <c r="B158" s="182">
        <f t="shared" si="31"/>
        <v>18</v>
      </c>
      <c r="C158" s="182">
        <f t="shared" si="31"/>
        <v>6</v>
      </c>
      <c r="D158" s="182" t="str">
        <f t="shared" si="30"/>
        <v>Boisson spécial numéro 6</v>
      </c>
      <c r="E158" s="268">
        <f t="shared" si="32"/>
        <v>2.8</v>
      </c>
      <c r="F158" s="276">
        <f t="shared" si="32"/>
        <v>9.4</v>
      </c>
      <c r="G158" s="266">
        <f t="shared" si="33"/>
        <v>0.2978723404255319</v>
      </c>
      <c r="H158" s="265">
        <f t="shared" si="34"/>
        <v>6.6000000000000005</v>
      </c>
      <c r="I158" s="264"/>
      <c r="J158" s="610"/>
      <c r="K158" s="263"/>
      <c r="L158" s="231"/>
      <c r="M158" s="230"/>
      <c r="N158" s="217"/>
    </row>
    <row r="159" spans="1:14" ht="18" x14ac:dyDescent="0.3">
      <c r="A159" s="624"/>
      <c r="B159" s="182">
        <f t="shared" si="31"/>
        <v>19</v>
      </c>
      <c r="C159" s="182">
        <f t="shared" si="31"/>
        <v>7</v>
      </c>
      <c r="D159" s="182" t="str">
        <f t="shared" si="30"/>
        <v>Boisson spécial numéro 7</v>
      </c>
      <c r="E159" s="268">
        <f t="shared" si="32"/>
        <v>2.82</v>
      </c>
      <c r="F159" s="276">
        <f t="shared" si="32"/>
        <v>9.6</v>
      </c>
      <c r="G159" s="266">
        <f t="shared" si="33"/>
        <v>0.29375000000000001</v>
      </c>
      <c r="H159" s="265">
        <f t="shared" si="34"/>
        <v>6.7799999999999994</v>
      </c>
      <c r="I159" s="264"/>
      <c r="J159" s="610"/>
      <c r="K159" s="263"/>
      <c r="L159" s="231"/>
      <c r="M159" s="230"/>
      <c r="N159" s="217"/>
    </row>
    <row r="160" spans="1:14" ht="18" x14ac:dyDescent="0.3">
      <c r="A160" s="624"/>
      <c r="B160" s="182">
        <f t="shared" si="31"/>
        <v>20</v>
      </c>
      <c r="C160" s="182">
        <f t="shared" si="31"/>
        <v>8</v>
      </c>
      <c r="D160" s="182" t="str">
        <f t="shared" si="30"/>
        <v>Boisson spécial numéro 8</v>
      </c>
      <c r="E160" s="268">
        <f t="shared" si="32"/>
        <v>2.86</v>
      </c>
      <c r="F160" s="276">
        <f t="shared" si="32"/>
        <v>9.8000000000000007</v>
      </c>
      <c r="G160" s="266">
        <f t="shared" si="33"/>
        <v>0.2918367346938775</v>
      </c>
      <c r="H160" s="265">
        <f t="shared" si="34"/>
        <v>6.9400000000000013</v>
      </c>
      <c r="I160" s="264"/>
      <c r="J160" s="610"/>
      <c r="K160" s="263"/>
      <c r="L160" s="231"/>
      <c r="M160" s="230"/>
      <c r="N160" s="217"/>
    </row>
    <row r="161" spans="1:14" ht="18" x14ac:dyDescent="0.3">
      <c r="A161" s="624"/>
      <c r="B161" s="182">
        <f t="shared" si="31"/>
        <v>21</v>
      </c>
      <c r="C161" s="182">
        <f t="shared" si="31"/>
        <v>9</v>
      </c>
      <c r="D161" s="182" t="str">
        <f t="shared" si="30"/>
        <v>Boisson spécial numéro 9</v>
      </c>
      <c r="E161" s="268">
        <f t="shared" si="32"/>
        <v>2.9</v>
      </c>
      <c r="F161" s="276">
        <f t="shared" si="32"/>
        <v>10</v>
      </c>
      <c r="G161" s="266">
        <f t="shared" si="33"/>
        <v>0.28999999999999998</v>
      </c>
      <c r="H161" s="265">
        <f t="shared" si="34"/>
        <v>7.1</v>
      </c>
      <c r="I161" s="264"/>
      <c r="J161" s="610"/>
      <c r="K161" s="263"/>
      <c r="L161" s="231"/>
      <c r="M161" s="230"/>
      <c r="N161" s="217"/>
    </row>
    <row r="162" spans="1:14" ht="19" thickBot="1" x14ac:dyDescent="0.35">
      <c r="A162" s="624"/>
      <c r="B162" s="275">
        <f t="shared" si="31"/>
        <v>22</v>
      </c>
      <c r="C162" s="275">
        <f t="shared" si="31"/>
        <v>10</v>
      </c>
      <c r="D162" s="275" t="str">
        <f t="shared" si="30"/>
        <v>Boisson spécial numéro 10</v>
      </c>
      <c r="E162" s="274">
        <f t="shared" si="32"/>
        <v>2.98</v>
      </c>
      <c r="F162" s="278">
        <f t="shared" si="32"/>
        <v>10.4</v>
      </c>
      <c r="G162" s="272">
        <f t="shared" si="33"/>
        <v>0.28653846153846152</v>
      </c>
      <c r="H162" s="271">
        <f t="shared" si="34"/>
        <v>7.42</v>
      </c>
      <c r="I162" s="270">
        <f>+I155+2.166667</f>
        <v>10.933334</v>
      </c>
      <c r="J162" s="619"/>
      <c r="K162" s="263"/>
      <c r="L162" s="231"/>
      <c r="M162" s="230"/>
      <c r="N162" s="217"/>
    </row>
    <row r="163" spans="1:14" ht="18" x14ac:dyDescent="0.3">
      <c r="A163" s="624"/>
      <c r="B163" s="182">
        <f t="shared" si="31"/>
        <v>23</v>
      </c>
      <c r="C163" s="182">
        <f t="shared" si="31"/>
        <v>11</v>
      </c>
      <c r="D163" s="182" t="str">
        <f t="shared" si="30"/>
        <v>Boisson spécial numéro 11</v>
      </c>
      <c r="E163" s="268">
        <f t="shared" si="32"/>
        <v>3.18</v>
      </c>
      <c r="F163" s="276">
        <f t="shared" si="32"/>
        <v>11.6</v>
      </c>
      <c r="G163" s="266">
        <f t="shared" si="33"/>
        <v>0.27413793103448281</v>
      </c>
      <c r="H163" s="265">
        <f t="shared" si="34"/>
        <v>8.42</v>
      </c>
      <c r="I163" s="264">
        <f>+I162+0.01</f>
        <v>10.943334</v>
      </c>
      <c r="J163" s="609">
        <f>2/12</f>
        <v>0.16666666666666666</v>
      </c>
      <c r="K163" s="269"/>
      <c r="L163" s="231"/>
      <c r="M163" s="230"/>
      <c r="N163" s="217"/>
    </row>
    <row r="164" spans="1:14" ht="18" x14ac:dyDescent="0.3">
      <c r="A164" s="624"/>
      <c r="B164" s="182">
        <f t="shared" si="31"/>
        <v>24</v>
      </c>
      <c r="C164" s="182">
        <f t="shared" si="31"/>
        <v>12</v>
      </c>
      <c r="D164" s="182" t="str">
        <f t="shared" si="30"/>
        <v>Boisson spécial numéro 12</v>
      </c>
      <c r="E164" s="268">
        <f t="shared" si="32"/>
        <v>3.48</v>
      </c>
      <c r="F164" s="267">
        <f t="shared" si="32"/>
        <v>13.2</v>
      </c>
      <c r="G164" s="266">
        <f t="shared" si="33"/>
        <v>0.26363636363636367</v>
      </c>
      <c r="H164" s="265">
        <f t="shared" si="34"/>
        <v>9.7199999999999989</v>
      </c>
      <c r="I164" s="264">
        <f>F164</f>
        <v>13.2</v>
      </c>
      <c r="J164" s="610"/>
      <c r="K164" s="263"/>
      <c r="L164" s="231"/>
      <c r="M164" s="230"/>
      <c r="N164" s="217"/>
    </row>
    <row r="165" spans="1:14" ht="19" x14ac:dyDescent="0.35">
      <c r="A165" s="624"/>
      <c r="B165" s="182"/>
      <c r="C165" s="182"/>
      <c r="D165" s="241" t="str">
        <f t="shared" si="30"/>
        <v>CmO—PmO—Beverage Cost—Marge brute</v>
      </c>
      <c r="E165" s="262">
        <f>SUM(E153:E164)/C164</f>
        <v>2.8483333333333332</v>
      </c>
      <c r="F165" s="262">
        <f>SUM(F153:F164)/C164</f>
        <v>9.5333333333333332</v>
      </c>
      <c r="G165" s="261">
        <f t="shared" si="33"/>
        <v>0.29877622377622376</v>
      </c>
      <c r="H165" s="260">
        <f t="shared" si="34"/>
        <v>6.6850000000000005</v>
      </c>
      <c r="I165" s="259"/>
      <c r="J165" s="182"/>
      <c r="K165" s="182"/>
      <c r="L165" s="291">
        <v>1</v>
      </c>
      <c r="M165" s="230" t="s">
        <v>1</v>
      </c>
      <c r="N165" s="217"/>
    </row>
    <row r="166" spans="1:14" ht="19" thickBot="1" x14ac:dyDescent="0.35">
      <c r="A166" s="624"/>
      <c r="B166" s="182"/>
      <c r="C166" s="182"/>
      <c r="D166" s="182"/>
      <c r="E166" s="245"/>
      <c r="F166" s="245"/>
      <c r="G166" s="244"/>
      <c r="H166" s="243"/>
      <c r="I166" s="182"/>
      <c r="J166" s="182"/>
      <c r="K166" s="182"/>
      <c r="L166" s="231"/>
      <c r="M166" s="230"/>
      <c r="N166" s="217"/>
    </row>
    <row r="167" spans="1:14" ht="21" thickTop="1" thickBot="1" x14ac:dyDescent="0.4">
      <c r="A167" s="624"/>
      <c r="B167" s="182"/>
      <c r="C167" s="256"/>
      <c r="D167" s="255"/>
      <c r="E167" s="254"/>
      <c r="F167" s="254"/>
      <c r="G167" s="253"/>
      <c r="H167" s="252"/>
      <c r="I167" s="251"/>
      <c r="J167" s="182"/>
      <c r="K167" s="182"/>
      <c r="L167" s="231"/>
      <c r="M167" s="230"/>
      <c r="N167" s="217"/>
    </row>
    <row r="168" spans="1:14" ht="20" thickTop="1" thickBot="1" x14ac:dyDescent="0.35">
      <c r="A168" s="624"/>
      <c r="B168" s="182"/>
      <c r="C168" s="236"/>
      <c r="D168" s="241"/>
      <c r="E168" s="250" t="str">
        <f>E125</f>
        <v>CmO</v>
      </c>
      <c r="F168" s="250" t="str">
        <f>F125</f>
        <v>PmO</v>
      </c>
      <c r="G168" s="249" t="str">
        <f>G125</f>
        <v>F&amp;BCmO</v>
      </c>
      <c r="H168" s="248" t="str">
        <f>H125</f>
        <v>BmO</v>
      </c>
      <c r="I168" s="247"/>
      <c r="J168" s="182"/>
      <c r="K168" s="182"/>
      <c r="L168" s="231"/>
      <c r="M168" s="230"/>
      <c r="N168" s="217"/>
    </row>
    <row r="169" spans="1:14" ht="19" thickTop="1" x14ac:dyDescent="0.3">
      <c r="A169" s="624"/>
      <c r="B169" s="182"/>
      <c r="C169" s="236"/>
      <c r="D169" s="246" t="str">
        <f>D126</f>
        <v>OFFRE TOTALE AVEC LES GÂTERIES ET LES CAFÉS GÂTERIES</v>
      </c>
      <c r="E169" s="245"/>
      <c r="F169" s="245"/>
      <c r="G169" s="244"/>
      <c r="H169" s="243"/>
      <c r="I169" s="242"/>
      <c r="J169" s="182"/>
      <c r="K169" s="182"/>
      <c r="L169" s="231"/>
      <c r="M169" s="230"/>
      <c r="N169" s="217"/>
    </row>
    <row r="170" spans="1:14" ht="19" x14ac:dyDescent="0.35">
      <c r="A170" s="624"/>
      <c r="B170" s="182"/>
      <c r="C170" s="236"/>
      <c r="D170" s="241" t="str">
        <f>D127</f>
        <v>CmO—PmO—F&amp;B cost moyen offert—Marge brute</v>
      </c>
      <c r="E170" s="240">
        <f>+(E138+E139+E140+E141+E142+E143+E144+E145+E146+E147+E148+E149+E153+E154+E155+E156+E157+E158+E159+E160+E161+E162+E163+E164)/B164</f>
        <v>2.1649999999999996</v>
      </c>
      <c r="F170" s="240">
        <f>+(F138+F139+F140+F141+F142+F143+F144+F145+F146+F147+F148+F149+F153+F154+F155+F156+F157+F158+F159+F160+F161+F162+F163+F164)/B164</f>
        <v>7.1749999999999998</v>
      </c>
      <c r="G170" s="239">
        <f>E170/F170</f>
        <v>0.30174216027874562</v>
      </c>
      <c r="H170" s="238">
        <f>F170-E170</f>
        <v>5.01</v>
      </c>
      <c r="I170" s="237"/>
      <c r="J170" s="182"/>
      <c r="K170" s="182"/>
      <c r="L170" s="231">
        <f>L127</f>
        <v>2</v>
      </c>
      <c r="M170" s="230">
        <f>'% Occupation'!G19</f>
        <v>196</v>
      </c>
      <c r="N170" s="217"/>
    </row>
    <row r="171" spans="1:14" ht="18" x14ac:dyDescent="0.3">
      <c r="A171" s="624"/>
      <c r="B171" s="182"/>
      <c r="C171" s="236"/>
      <c r="D171" s="182"/>
      <c r="E171" s="235"/>
      <c r="F171" s="235"/>
      <c r="G171" s="234"/>
      <c r="H171" s="233"/>
      <c r="I171" s="232"/>
      <c r="J171" s="182"/>
      <c r="K171" s="182"/>
      <c r="L171" s="231"/>
      <c r="M171" s="230"/>
      <c r="N171" s="217"/>
    </row>
    <row r="172" spans="1:14" ht="19" thickBot="1" x14ac:dyDescent="0.35">
      <c r="A172" s="624"/>
      <c r="B172" s="182"/>
      <c r="C172" s="229"/>
      <c r="D172" s="228"/>
      <c r="E172" s="227"/>
      <c r="F172" s="227"/>
      <c r="G172" s="226"/>
      <c r="H172" s="225"/>
      <c r="I172" s="224"/>
      <c r="J172" s="182"/>
      <c r="K172" s="182"/>
      <c r="L172" s="223"/>
      <c r="M172" s="222"/>
      <c r="N172" s="217"/>
    </row>
    <row r="173" spans="1:14" ht="19" thickTop="1" x14ac:dyDescent="0.3">
      <c r="A173" s="624"/>
      <c r="L173" s="220"/>
      <c r="M173" s="218"/>
      <c r="N173" s="217"/>
    </row>
    <row r="174" spans="1:14" ht="23" x14ac:dyDescent="0.3">
      <c r="A174" s="624"/>
      <c r="D174" s="287" t="s">
        <v>95</v>
      </c>
      <c r="F174" s="283"/>
      <c r="L174" s="220"/>
      <c r="M174" s="218"/>
      <c r="N174" s="217"/>
    </row>
    <row r="175" spans="1:14" ht="24" thickBot="1" x14ac:dyDescent="0.35">
      <c r="A175" s="624"/>
      <c r="D175" s="285"/>
      <c r="L175" s="220"/>
      <c r="M175" s="218"/>
      <c r="N175" s="217"/>
    </row>
    <row r="176" spans="1:14" ht="23" customHeight="1" thickTop="1" x14ac:dyDescent="0.25">
      <c r="A176" s="624"/>
      <c r="D176" s="285"/>
      <c r="E176" s="604" t="str">
        <f>E133</f>
        <v>Coûts des ressources alimentaires pour chaque produit offert (voir recettes standardisées)</v>
      </c>
      <c r="F176" s="604" t="str">
        <f>F133</f>
        <v>Prix de vente par produit offert</v>
      </c>
      <c r="G176" s="604" t="str">
        <f>G133</f>
        <v xml:space="preserve">« Food &amp; Beverage Cost » </v>
      </c>
      <c r="H176" s="604" t="str">
        <f>H133</f>
        <v>Marge brute gagnée sur la vente de chaque produit offert</v>
      </c>
      <c r="I176" s="286"/>
      <c r="L176" s="613" t="s">
        <v>84</v>
      </c>
      <c r="M176" s="613" t="s">
        <v>83</v>
      </c>
      <c r="N176" s="217"/>
    </row>
    <row r="177" spans="1:14" ht="22" x14ac:dyDescent="0.25">
      <c r="A177" s="624"/>
      <c r="D177" s="285"/>
      <c r="E177" s="605"/>
      <c r="F177" s="607"/>
      <c r="G177" s="607"/>
      <c r="H177" s="607"/>
      <c r="I177" s="284"/>
      <c r="L177" s="614"/>
      <c r="M177" s="616"/>
      <c r="N177" s="217"/>
    </row>
    <row r="178" spans="1:14" ht="14" customHeight="1" thickBot="1" x14ac:dyDescent="0.25">
      <c r="A178" s="624"/>
      <c r="E178" s="606"/>
      <c r="F178" s="608"/>
      <c r="G178" s="608"/>
      <c r="H178" s="608"/>
      <c r="I178" s="284"/>
      <c r="L178" s="615"/>
      <c r="M178" s="617"/>
      <c r="N178" s="217"/>
    </row>
    <row r="179" spans="1:14" ht="20" thickTop="1" thickBot="1" x14ac:dyDescent="0.35">
      <c r="A179" s="624"/>
      <c r="B179" s="149" t="s">
        <v>1</v>
      </c>
      <c r="E179" s="283"/>
      <c r="F179" s="283"/>
      <c r="G179" s="282"/>
      <c r="L179" s="220"/>
      <c r="M179" s="218"/>
      <c r="N179" s="217"/>
    </row>
    <row r="180" spans="1:14" ht="19" thickTop="1" x14ac:dyDescent="0.3">
      <c r="A180" s="624"/>
      <c r="B180" s="182"/>
      <c r="C180" s="182"/>
      <c r="D180" s="241" t="str">
        <f t="shared" ref="D180:D193" si="35">D137</f>
        <v>Les Petite Gâteries</v>
      </c>
      <c r="E180" s="264"/>
      <c r="F180" s="264"/>
      <c r="G180" s="244"/>
      <c r="H180" s="182"/>
      <c r="I180" s="182"/>
      <c r="J180" s="182"/>
      <c r="K180" s="182"/>
      <c r="L180" s="281"/>
      <c r="M180" s="280"/>
      <c r="N180" s="217"/>
    </row>
    <row r="181" spans="1:14" ht="18" x14ac:dyDescent="0.3">
      <c r="A181" s="624"/>
      <c r="B181" s="182">
        <f t="shared" ref="B181:C192" si="36">B138</f>
        <v>1</v>
      </c>
      <c r="C181" s="182">
        <f t="shared" si="36"/>
        <v>1</v>
      </c>
      <c r="D181" s="182" t="str">
        <f t="shared" si="35"/>
        <v>Petite Gâterie 1</v>
      </c>
      <c r="E181" s="268">
        <f t="shared" ref="E181:F192" si="37">E138</f>
        <v>1.21</v>
      </c>
      <c r="F181" s="267">
        <f t="shared" si="37"/>
        <v>3.3</v>
      </c>
      <c r="G181" s="266">
        <f t="shared" ref="G181:G193" si="38">E181/F181</f>
        <v>0.3666666666666667</v>
      </c>
      <c r="H181" s="265">
        <f t="shared" ref="H181:H193" si="39">F181-E181</f>
        <v>2.09</v>
      </c>
      <c r="I181" s="264"/>
      <c r="J181" s="182"/>
      <c r="K181" s="182"/>
      <c r="L181" s="279"/>
      <c r="M181" s="230"/>
      <c r="N181" s="217"/>
    </row>
    <row r="182" spans="1:14" ht="18" x14ac:dyDescent="0.3">
      <c r="A182" s="624"/>
      <c r="B182" s="182">
        <f t="shared" si="36"/>
        <v>2</v>
      </c>
      <c r="C182" s="182">
        <f t="shared" si="36"/>
        <v>2</v>
      </c>
      <c r="D182" s="182" t="str">
        <f t="shared" si="35"/>
        <v>Petite Gâterie 2</v>
      </c>
      <c r="E182" s="268">
        <f t="shared" si="37"/>
        <v>1.31</v>
      </c>
      <c r="F182" s="267">
        <f t="shared" si="37"/>
        <v>3.8</v>
      </c>
      <c r="G182" s="266">
        <f t="shared" si="38"/>
        <v>0.34473684210526317</v>
      </c>
      <c r="H182" s="265">
        <f t="shared" si="39"/>
        <v>2.4899999999999998</v>
      </c>
      <c r="I182" s="264"/>
      <c r="J182" s="182"/>
      <c r="K182" s="182"/>
      <c r="L182" s="231"/>
      <c r="M182" s="230"/>
      <c r="N182" s="217"/>
    </row>
    <row r="183" spans="1:14" ht="18" x14ac:dyDescent="0.3">
      <c r="A183" s="624"/>
      <c r="B183" s="182">
        <f t="shared" si="36"/>
        <v>3</v>
      </c>
      <c r="C183" s="182">
        <f t="shared" si="36"/>
        <v>3</v>
      </c>
      <c r="D183" s="182" t="str">
        <f t="shared" si="35"/>
        <v>Petite Gâterie 3</v>
      </c>
      <c r="E183" s="268">
        <f t="shared" si="37"/>
        <v>1.35</v>
      </c>
      <c r="F183" s="267">
        <f t="shared" si="37"/>
        <v>4</v>
      </c>
      <c r="G183" s="266">
        <f t="shared" si="38"/>
        <v>0.33750000000000002</v>
      </c>
      <c r="H183" s="265">
        <f t="shared" si="39"/>
        <v>2.65</v>
      </c>
      <c r="I183" s="264"/>
      <c r="J183" s="182"/>
      <c r="K183" s="182"/>
      <c r="L183" s="231"/>
      <c r="M183" s="230"/>
      <c r="N183" s="217"/>
    </row>
    <row r="184" spans="1:14" ht="18" x14ac:dyDescent="0.3">
      <c r="A184" s="624"/>
      <c r="B184" s="182">
        <f t="shared" si="36"/>
        <v>4</v>
      </c>
      <c r="C184" s="182">
        <f t="shared" si="36"/>
        <v>4</v>
      </c>
      <c r="D184" s="182" t="str">
        <f t="shared" si="35"/>
        <v>Petite Gâterie 4</v>
      </c>
      <c r="E184" s="268">
        <f t="shared" si="37"/>
        <v>1.4</v>
      </c>
      <c r="F184" s="267">
        <f t="shared" si="37"/>
        <v>4.5</v>
      </c>
      <c r="G184" s="266">
        <f t="shared" si="38"/>
        <v>0.31111111111111112</v>
      </c>
      <c r="H184" s="265">
        <f t="shared" si="39"/>
        <v>3.1</v>
      </c>
      <c r="I184" s="264"/>
      <c r="J184" s="182"/>
      <c r="K184" s="182"/>
      <c r="L184" s="231"/>
      <c r="M184" s="230"/>
      <c r="N184" s="217"/>
    </row>
    <row r="185" spans="1:14" ht="18" x14ac:dyDescent="0.3">
      <c r="A185" s="624"/>
      <c r="B185" s="182">
        <f t="shared" si="36"/>
        <v>5</v>
      </c>
      <c r="C185" s="182">
        <f t="shared" si="36"/>
        <v>5</v>
      </c>
      <c r="D185" s="182" t="str">
        <f t="shared" si="35"/>
        <v>Petite Gâterie 5</v>
      </c>
      <c r="E185" s="268">
        <f t="shared" si="37"/>
        <v>1.24</v>
      </c>
      <c r="F185" s="267">
        <f t="shared" si="37"/>
        <v>4.5999999999999996</v>
      </c>
      <c r="G185" s="266">
        <f t="shared" si="38"/>
        <v>0.26956521739130435</v>
      </c>
      <c r="H185" s="265">
        <f t="shared" si="39"/>
        <v>3.3599999999999994</v>
      </c>
      <c r="I185" s="264"/>
      <c r="J185" s="182"/>
      <c r="K185" s="182"/>
      <c r="L185" s="231"/>
      <c r="M185" s="230"/>
      <c r="N185" s="217"/>
    </row>
    <row r="186" spans="1:14" ht="18" x14ac:dyDescent="0.3">
      <c r="A186" s="624"/>
      <c r="B186" s="182">
        <f t="shared" si="36"/>
        <v>6</v>
      </c>
      <c r="C186" s="182">
        <f t="shared" si="36"/>
        <v>6</v>
      </c>
      <c r="D186" s="182" t="str">
        <f t="shared" si="35"/>
        <v>Petite Gâterie 6</v>
      </c>
      <c r="E186" s="268">
        <f t="shared" si="37"/>
        <v>1.39</v>
      </c>
      <c r="F186" s="267">
        <f t="shared" si="37"/>
        <v>4.7</v>
      </c>
      <c r="G186" s="266">
        <f t="shared" si="38"/>
        <v>0.29574468085106381</v>
      </c>
      <c r="H186" s="265">
        <f t="shared" si="39"/>
        <v>3.3100000000000005</v>
      </c>
      <c r="I186" s="264"/>
      <c r="J186" s="182"/>
      <c r="K186" s="182"/>
      <c r="L186" s="231"/>
      <c r="M186" s="230"/>
      <c r="N186" s="217"/>
    </row>
    <row r="187" spans="1:14" ht="18" x14ac:dyDescent="0.3">
      <c r="A187" s="624"/>
      <c r="B187" s="182">
        <f t="shared" si="36"/>
        <v>7</v>
      </c>
      <c r="C187" s="182">
        <f t="shared" si="36"/>
        <v>7</v>
      </c>
      <c r="D187" s="182" t="str">
        <f t="shared" si="35"/>
        <v>Petite Gâterie 7</v>
      </c>
      <c r="E187" s="268">
        <f t="shared" si="37"/>
        <v>1.51</v>
      </c>
      <c r="F187" s="267">
        <f t="shared" si="37"/>
        <v>4.8</v>
      </c>
      <c r="G187" s="266">
        <f t="shared" si="38"/>
        <v>0.31458333333333333</v>
      </c>
      <c r="H187" s="265">
        <f t="shared" si="39"/>
        <v>3.29</v>
      </c>
      <c r="I187" s="264"/>
      <c r="J187" s="182"/>
      <c r="K187" s="182"/>
      <c r="L187" s="231"/>
      <c r="M187" s="230"/>
      <c r="N187" s="217"/>
    </row>
    <row r="188" spans="1:14" ht="18" x14ac:dyDescent="0.3">
      <c r="A188" s="624"/>
      <c r="B188" s="182">
        <f t="shared" si="36"/>
        <v>8</v>
      </c>
      <c r="C188" s="182">
        <f t="shared" si="36"/>
        <v>8</v>
      </c>
      <c r="D188" s="182" t="str">
        <f t="shared" si="35"/>
        <v>Petite Gâterie 8</v>
      </c>
      <c r="E188" s="268">
        <f t="shared" si="37"/>
        <v>1.53</v>
      </c>
      <c r="F188" s="267">
        <f t="shared" si="37"/>
        <v>4.9000000000000004</v>
      </c>
      <c r="G188" s="266">
        <f t="shared" si="38"/>
        <v>0.31224489795918364</v>
      </c>
      <c r="H188" s="265">
        <f t="shared" si="39"/>
        <v>3.37</v>
      </c>
      <c r="I188" s="264"/>
      <c r="J188" s="182"/>
      <c r="K188" s="182"/>
      <c r="L188" s="231"/>
      <c r="M188" s="230"/>
      <c r="N188" s="217"/>
    </row>
    <row r="189" spans="1:14" ht="18" x14ac:dyDescent="0.3">
      <c r="A189" s="624"/>
      <c r="B189" s="182">
        <f t="shared" si="36"/>
        <v>9</v>
      </c>
      <c r="C189" s="182">
        <f t="shared" si="36"/>
        <v>9</v>
      </c>
      <c r="D189" s="182" t="str">
        <f t="shared" si="35"/>
        <v>Petite Gâterie 9</v>
      </c>
      <c r="E189" s="268">
        <f t="shared" si="37"/>
        <v>1.55</v>
      </c>
      <c r="F189" s="267">
        <f t="shared" si="37"/>
        <v>5</v>
      </c>
      <c r="G189" s="266">
        <f t="shared" si="38"/>
        <v>0.31</v>
      </c>
      <c r="H189" s="265">
        <f t="shared" si="39"/>
        <v>3.45</v>
      </c>
      <c r="I189" s="264"/>
      <c r="J189" s="182"/>
      <c r="K189" s="182"/>
      <c r="L189" s="231"/>
      <c r="M189" s="230"/>
      <c r="N189" s="217"/>
    </row>
    <row r="190" spans="1:14" ht="18" x14ac:dyDescent="0.3">
      <c r="A190" s="624"/>
      <c r="B190" s="182">
        <f t="shared" si="36"/>
        <v>10</v>
      </c>
      <c r="C190" s="182">
        <f t="shared" si="36"/>
        <v>10</v>
      </c>
      <c r="D190" s="182" t="str">
        <f t="shared" si="35"/>
        <v>Petite Gâterie 10</v>
      </c>
      <c r="E190" s="268">
        <f t="shared" si="37"/>
        <v>1.59</v>
      </c>
      <c r="F190" s="267">
        <f t="shared" si="37"/>
        <v>5.2</v>
      </c>
      <c r="G190" s="266">
        <f t="shared" si="38"/>
        <v>0.30576923076923079</v>
      </c>
      <c r="H190" s="265">
        <f t="shared" si="39"/>
        <v>3.6100000000000003</v>
      </c>
      <c r="I190" s="264"/>
      <c r="J190" s="182"/>
      <c r="K190" s="182"/>
      <c r="L190" s="231"/>
      <c r="M190" s="230"/>
      <c r="N190" s="217"/>
    </row>
    <row r="191" spans="1:14" ht="18" x14ac:dyDescent="0.3">
      <c r="A191" s="624"/>
      <c r="B191" s="182">
        <f t="shared" si="36"/>
        <v>11</v>
      </c>
      <c r="C191" s="182">
        <f t="shared" si="36"/>
        <v>11</v>
      </c>
      <c r="D191" s="182" t="str">
        <f t="shared" si="35"/>
        <v>Petite Gâterie 11</v>
      </c>
      <c r="E191" s="268">
        <f t="shared" si="37"/>
        <v>1.83</v>
      </c>
      <c r="F191" s="267">
        <f t="shared" si="37"/>
        <v>6.4</v>
      </c>
      <c r="G191" s="266">
        <f t="shared" si="38"/>
        <v>0.28593750000000001</v>
      </c>
      <c r="H191" s="265">
        <f t="shared" si="39"/>
        <v>4.57</v>
      </c>
      <c r="I191" s="264"/>
      <c r="J191" s="182"/>
      <c r="K191" s="182"/>
      <c r="L191" s="231"/>
      <c r="M191" s="230"/>
      <c r="N191" s="217"/>
    </row>
    <row r="192" spans="1:14" ht="18" x14ac:dyDescent="0.3">
      <c r="A192" s="624"/>
      <c r="B192" s="182">
        <f t="shared" si="36"/>
        <v>12</v>
      </c>
      <c r="C192" s="182">
        <f t="shared" si="36"/>
        <v>12</v>
      </c>
      <c r="D192" s="182" t="str">
        <f t="shared" si="35"/>
        <v>Petite Gâterie 12</v>
      </c>
      <c r="E192" s="268">
        <f t="shared" si="37"/>
        <v>1.87</v>
      </c>
      <c r="F192" s="267">
        <f t="shared" si="37"/>
        <v>6.6</v>
      </c>
      <c r="G192" s="266">
        <f t="shared" si="38"/>
        <v>0.28333333333333338</v>
      </c>
      <c r="H192" s="265">
        <f t="shared" si="39"/>
        <v>4.7299999999999995</v>
      </c>
      <c r="I192" s="264"/>
      <c r="J192" s="182"/>
      <c r="K192" s="182"/>
      <c r="L192" s="231"/>
      <c r="M192" s="230"/>
      <c r="N192" s="217"/>
    </row>
    <row r="193" spans="1:14" ht="19" x14ac:dyDescent="0.35">
      <c r="A193" s="624"/>
      <c r="B193" s="182"/>
      <c r="C193" s="182"/>
      <c r="D193" s="241" t="str">
        <f t="shared" si="35"/>
        <v>CmO—PmO—Food Cost—BmO</v>
      </c>
      <c r="E193" s="262">
        <f>SUM(E181:E192)/C192</f>
        <v>1.4816666666666667</v>
      </c>
      <c r="F193" s="262">
        <f>SUM(F181:F192)/C192</f>
        <v>4.8166666666666673</v>
      </c>
      <c r="G193" s="277">
        <f t="shared" si="38"/>
        <v>0.30761245674740478</v>
      </c>
      <c r="H193" s="260">
        <f t="shared" si="39"/>
        <v>3.3350000000000009</v>
      </c>
      <c r="I193" s="259"/>
      <c r="J193" s="182"/>
      <c r="K193" s="182"/>
      <c r="L193" s="291">
        <v>1</v>
      </c>
      <c r="M193" s="230" t="s">
        <v>1</v>
      </c>
      <c r="N193" s="217"/>
    </row>
    <row r="194" spans="1:14" ht="18" x14ac:dyDescent="0.3">
      <c r="A194" s="624"/>
      <c r="B194" s="182" t="s">
        <v>1</v>
      </c>
      <c r="C194" s="182"/>
      <c r="D194" s="182"/>
      <c r="E194" s="245"/>
      <c r="F194" s="245"/>
      <c r="G194" s="266"/>
      <c r="H194" s="243"/>
      <c r="I194" s="182"/>
      <c r="J194" s="182"/>
      <c r="K194" s="182"/>
      <c r="L194" s="231"/>
      <c r="M194" s="230"/>
      <c r="N194" s="217"/>
    </row>
    <row r="195" spans="1:14" ht="18" x14ac:dyDescent="0.3">
      <c r="A195" s="624"/>
      <c r="B195" s="182"/>
      <c r="C195" s="182"/>
      <c r="D195" s="241" t="str">
        <f t="shared" ref="D195:D208" si="40">D152</f>
        <v>Les Boissons  Gâteries</v>
      </c>
      <c r="E195" s="245"/>
      <c r="F195" s="245"/>
      <c r="G195" s="266"/>
      <c r="H195" s="243"/>
      <c r="I195" s="182"/>
      <c r="J195" s="182"/>
      <c r="K195" s="182"/>
      <c r="L195" s="231"/>
      <c r="M195" s="230"/>
      <c r="N195" s="217"/>
    </row>
    <row r="196" spans="1:14" ht="18" x14ac:dyDescent="0.3">
      <c r="A196" s="624"/>
      <c r="B196" s="182">
        <f t="shared" ref="B196:C207" si="41">B153</f>
        <v>13</v>
      </c>
      <c r="C196" s="182">
        <f t="shared" si="41"/>
        <v>1</v>
      </c>
      <c r="D196" s="182" t="str">
        <f t="shared" si="40"/>
        <v>Boisson spécial numéro 1</v>
      </c>
      <c r="E196" s="268">
        <f t="shared" ref="E196:F207" si="42">E153</f>
        <v>2.2799999999999998</v>
      </c>
      <c r="F196" s="267">
        <f t="shared" si="42"/>
        <v>6.6</v>
      </c>
      <c r="G196" s="266">
        <f t="shared" ref="G196:G208" si="43">E196/F196</f>
        <v>0.34545454545454546</v>
      </c>
      <c r="H196" s="265">
        <f t="shared" ref="H196:H208" si="44">F196-E196</f>
        <v>4.32</v>
      </c>
      <c r="I196" s="264"/>
      <c r="J196" s="182"/>
      <c r="K196" s="182"/>
      <c r="L196" s="231"/>
      <c r="M196" s="230"/>
      <c r="N196" s="217"/>
    </row>
    <row r="197" spans="1:14" ht="18" x14ac:dyDescent="0.3">
      <c r="A197" s="624"/>
      <c r="B197" s="182">
        <f t="shared" si="41"/>
        <v>14</v>
      </c>
      <c r="C197" s="182">
        <f t="shared" si="41"/>
        <v>2</v>
      </c>
      <c r="D197" s="182" t="str">
        <f t="shared" si="40"/>
        <v>Boisson spécial numéro 2</v>
      </c>
      <c r="E197" s="268">
        <f t="shared" si="42"/>
        <v>2.66</v>
      </c>
      <c r="F197" s="267">
        <f t="shared" si="42"/>
        <v>7.6</v>
      </c>
      <c r="G197" s="266">
        <f t="shared" si="43"/>
        <v>0.35000000000000003</v>
      </c>
      <c r="H197" s="265">
        <f t="shared" si="44"/>
        <v>4.9399999999999995</v>
      </c>
      <c r="I197" s="264"/>
      <c r="J197" s="182"/>
      <c r="K197" s="182"/>
      <c r="L197" s="231"/>
      <c r="M197" s="230"/>
      <c r="N197" s="217"/>
    </row>
    <row r="198" spans="1:14" ht="18" x14ac:dyDescent="0.3">
      <c r="A198" s="624"/>
      <c r="B198" s="182">
        <f t="shared" si="41"/>
        <v>15</v>
      </c>
      <c r="C198" s="182">
        <f t="shared" si="41"/>
        <v>3</v>
      </c>
      <c r="D198" s="182" t="str">
        <f t="shared" si="40"/>
        <v>Boisson spécial numéro 3</v>
      </c>
      <c r="E198" s="268">
        <f t="shared" si="42"/>
        <v>2.74</v>
      </c>
      <c r="F198" s="267">
        <f t="shared" si="42"/>
        <v>8</v>
      </c>
      <c r="G198" s="266">
        <f t="shared" si="43"/>
        <v>0.34250000000000003</v>
      </c>
      <c r="H198" s="265">
        <f t="shared" si="44"/>
        <v>5.26</v>
      </c>
      <c r="I198" s="264"/>
      <c r="J198" s="182"/>
      <c r="K198" s="182"/>
      <c r="L198" s="231"/>
      <c r="M198" s="230"/>
      <c r="N198" s="217"/>
    </row>
    <row r="199" spans="1:14" ht="18" x14ac:dyDescent="0.3">
      <c r="A199" s="624"/>
      <c r="B199" s="182">
        <f t="shared" si="41"/>
        <v>16</v>
      </c>
      <c r="C199" s="182">
        <f t="shared" si="41"/>
        <v>4</v>
      </c>
      <c r="D199" s="182" t="str">
        <f t="shared" si="40"/>
        <v>Boisson spécial numéro 4</v>
      </c>
      <c r="E199" s="268">
        <f t="shared" si="42"/>
        <v>2.72</v>
      </c>
      <c r="F199" s="267">
        <f t="shared" si="42"/>
        <v>9</v>
      </c>
      <c r="G199" s="266">
        <f t="shared" si="43"/>
        <v>0.30222222222222223</v>
      </c>
      <c r="H199" s="265">
        <f t="shared" si="44"/>
        <v>6.2799999999999994</v>
      </c>
      <c r="I199" s="264"/>
      <c r="J199" s="182"/>
      <c r="K199" s="182"/>
      <c r="L199" s="231"/>
      <c r="M199" s="230"/>
      <c r="N199" s="217"/>
    </row>
    <row r="200" spans="1:14" ht="18" x14ac:dyDescent="0.3">
      <c r="A200" s="624"/>
      <c r="B200" s="182">
        <f t="shared" si="41"/>
        <v>17</v>
      </c>
      <c r="C200" s="182">
        <f t="shared" si="41"/>
        <v>5</v>
      </c>
      <c r="D200" s="182" t="str">
        <f t="shared" si="40"/>
        <v>Boisson spécial numéro 5</v>
      </c>
      <c r="E200" s="268">
        <f t="shared" si="42"/>
        <v>2.76</v>
      </c>
      <c r="F200" s="267">
        <f t="shared" si="42"/>
        <v>9.1999999999999993</v>
      </c>
      <c r="G200" s="266">
        <f t="shared" si="43"/>
        <v>0.3</v>
      </c>
      <c r="H200" s="265">
        <f t="shared" si="44"/>
        <v>6.4399999999999995</v>
      </c>
      <c r="I200" s="264"/>
      <c r="J200" s="182"/>
      <c r="K200" s="182"/>
      <c r="L200" s="231"/>
      <c r="M200" s="230"/>
      <c r="N200" s="217"/>
    </row>
    <row r="201" spans="1:14" ht="18" x14ac:dyDescent="0.3">
      <c r="A201" s="624"/>
      <c r="B201" s="182">
        <f t="shared" si="41"/>
        <v>18</v>
      </c>
      <c r="C201" s="182">
        <f t="shared" si="41"/>
        <v>6</v>
      </c>
      <c r="D201" s="182" t="str">
        <f t="shared" si="40"/>
        <v>Boisson spécial numéro 6</v>
      </c>
      <c r="E201" s="268">
        <f t="shared" si="42"/>
        <v>2.8</v>
      </c>
      <c r="F201" s="267">
        <f t="shared" si="42"/>
        <v>9.4</v>
      </c>
      <c r="G201" s="266">
        <f t="shared" si="43"/>
        <v>0.2978723404255319</v>
      </c>
      <c r="H201" s="265">
        <f t="shared" si="44"/>
        <v>6.6000000000000005</v>
      </c>
      <c r="I201" s="264"/>
      <c r="J201" s="182"/>
      <c r="K201" s="182"/>
      <c r="L201" s="231"/>
      <c r="M201" s="230"/>
      <c r="N201" s="217"/>
    </row>
    <row r="202" spans="1:14" ht="18" x14ac:dyDescent="0.3">
      <c r="A202" s="624"/>
      <c r="B202" s="182">
        <f t="shared" si="41"/>
        <v>19</v>
      </c>
      <c r="C202" s="182">
        <f t="shared" si="41"/>
        <v>7</v>
      </c>
      <c r="D202" s="182" t="str">
        <f t="shared" si="40"/>
        <v>Boisson spécial numéro 7</v>
      </c>
      <c r="E202" s="268">
        <f t="shared" si="42"/>
        <v>2.82</v>
      </c>
      <c r="F202" s="267">
        <f t="shared" si="42"/>
        <v>9.6</v>
      </c>
      <c r="G202" s="266">
        <f t="shared" si="43"/>
        <v>0.29375000000000001</v>
      </c>
      <c r="H202" s="265">
        <f t="shared" si="44"/>
        <v>6.7799999999999994</v>
      </c>
      <c r="I202" s="264"/>
      <c r="J202" s="182"/>
      <c r="K202" s="182"/>
      <c r="L202" s="231"/>
      <c r="M202" s="230"/>
      <c r="N202" s="217"/>
    </row>
    <row r="203" spans="1:14" ht="18" x14ac:dyDescent="0.3">
      <c r="A203" s="624"/>
      <c r="B203" s="182">
        <f t="shared" si="41"/>
        <v>20</v>
      </c>
      <c r="C203" s="182">
        <f t="shared" si="41"/>
        <v>8</v>
      </c>
      <c r="D203" s="182" t="str">
        <f t="shared" si="40"/>
        <v>Boisson spécial numéro 8</v>
      </c>
      <c r="E203" s="268">
        <f t="shared" si="42"/>
        <v>2.86</v>
      </c>
      <c r="F203" s="267">
        <f t="shared" si="42"/>
        <v>9.8000000000000007</v>
      </c>
      <c r="G203" s="266">
        <f t="shared" si="43"/>
        <v>0.2918367346938775</v>
      </c>
      <c r="H203" s="265">
        <f t="shared" si="44"/>
        <v>6.9400000000000013</v>
      </c>
      <c r="I203" s="264"/>
      <c r="J203" s="182"/>
      <c r="K203" s="182"/>
      <c r="L203" s="231"/>
      <c r="M203" s="230"/>
      <c r="N203" s="217"/>
    </row>
    <row r="204" spans="1:14" ht="18" x14ac:dyDescent="0.3">
      <c r="A204" s="624"/>
      <c r="B204" s="182">
        <f t="shared" si="41"/>
        <v>21</v>
      </c>
      <c r="C204" s="182">
        <f t="shared" si="41"/>
        <v>9</v>
      </c>
      <c r="D204" s="182" t="str">
        <f t="shared" si="40"/>
        <v>Boisson spécial numéro 9</v>
      </c>
      <c r="E204" s="268">
        <f t="shared" si="42"/>
        <v>2.9</v>
      </c>
      <c r="F204" s="267">
        <f t="shared" si="42"/>
        <v>10</v>
      </c>
      <c r="G204" s="266">
        <f t="shared" si="43"/>
        <v>0.28999999999999998</v>
      </c>
      <c r="H204" s="265">
        <f t="shared" si="44"/>
        <v>7.1</v>
      </c>
      <c r="I204" s="264"/>
      <c r="J204" s="182"/>
      <c r="K204" s="182"/>
      <c r="L204" s="231"/>
      <c r="M204" s="230"/>
      <c r="N204" s="217"/>
    </row>
    <row r="205" spans="1:14" ht="18" x14ac:dyDescent="0.3">
      <c r="A205" s="624"/>
      <c r="B205" s="182">
        <f t="shared" si="41"/>
        <v>22</v>
      </c>
      <c r="C205" s="182">
        <f t="shared" si="41"/>
        <v>10</v>
      </c>
      <c r="D205" s="182" t="str">
        <f t="shared" si="40"/>
        <v>Boisson spécial numéro 10</v>
      </c>
      <c r="E205" s="268">
        <f t="shared" si="42"/>
        <v>2.98</v>
      </c>
      <c r="F205" s="267">
        <f t="shared" si="42"/>
        <v>10.4</v>
      </c>
      <c r="G205" s="266">
        <f t="shared" si="43"/>
        <v>0.28653846153846152</v>
      </c>
      <c r="H205" s="265">
        <f t="shared" si="44"/>
        <v>7.42</v>
      </c>
      <c r="I205" s="264"/>
      <c r="J205" s="182"/>
      <c r="K205" s="182"/>
      <c r="L205" s="231"/>
      <c r="M205" s="230"/>
      <c r="N205" s="217"/>
    </row>
    <row r="206" spans="1:14" ht="18" x14ac:dyDescent="0.3">
      <c r="A206" s="624"/>
      <c r="B206" s="182">
        <f t="shared" si="41"/>
        <v>23</v>
      </c>
      <c r="C206" s="182">
        <f t="shared" si="41"/>
        <v>11</v>
      </c>
      <c r="D206" s="182" t="str">
        <f t="shared" si="40"/>
        <v>Boisson spécial numéro 11</v>
      </c>
      <c r="E206" s="268">
        <f t="shared" si="42"/>
        <v>3.18</v>
      </c>
      <c r="F206" s="267">
        <f t="shared" si="42"/>
        <v>11.6</v>
      </c>
      <c r="G206" s="266">
        <f t="shared" si="43"/>
        <v>0.27413793103448281</v>
      </c>
      <c r="H206" s="265">
        <f t="shared" si="44"/>
        <v>8.42</v>
      </c>
      <c r="I206" s="264"/>
      <c r="J206" s="182"/>
      <c r="K206" s="182"/>
      <c r="L206" s="231"/>
      <c r="M206" s="230"/>
      <c r="N206" s="217"/>
    </row>
    <row r="207" spans="1:14" ht="18" x14ac:dyDescent="0.3">
      <c r="A207" s="624"/>
      <c r="B207" s="182">
        <f t="shared" si="41"/>
        <v>24</v>
      </c>
      <c r="C207" s="182">
        <f t="shared" si="41"/>
        <v>12</v>
      </c>
      <c r="D207" s="182" t="str">
        <f t="shared" si="40"/>
        <v>Boisson spécial numéro 12</v>
      </c>
      <c r="E207" s="268">
        <f t="shared" si="42"/>
        <v>3.48</v>
      </c>
      <c r="F207" s="267">
        <f t="shared" si="42"/>
        <v>13.2</v>
      </c>
      <c r="G207" s="266">
        <f t="shared" si="43"/>
        <v>0.26363636363636367</v>
      </c>
      <c r="H207" s="265">
        <f t="shared" si="44"/>
        <v>9.7199999999999989</v>
      </c>
      <c r="I207" s="264"/>
      <c r="J207" s="182"/>
      <c r="K207" s="182"/>
      <c r="L207" s="231"/>
      <c r="M207" s="230"/>
      <c r="N207" s="217"/>
    </row>
    <row r="208" spans="1:14" ht="19" x14ac:dyDescent="0.35">
      <c r="A208" s="624"/>
      <c r="B208" s="182"/>
      <c r="C208" s="182"/>
      <c r="D208" s="241" t="str">
        <f t="shared" si="40"/>
        <v>CmO—PmO—Beverage Cost—Marge brute</v>
      </c>
      <c r="E208" s="262">
        <f>SUM(E196:E207)/C207</f>
        <v>2.8483333333333332</v>
      </c>
      <c r="F208" s="262">
        <f>SUM(F196:F207)/C207</f>
        <v>9.5333333333333332</v>
      </c>
      <c r="G208" s="261">
        <f t="shared" si="43"/>
        <v>0.29877622377622376</v>
      </c>
      <c r="H208" s="260">
        <f t="shared" si="44"/>
        <v>6.6850000000000005</v>
      </c>
      <c r="I208" s="259"/>
      <c r="J208" s="182"/>
      <c r="K208" s="182"/>
      <c r="L208" s="291">
        <v>1</v>
      </c>
      <c r="M208" s="230" t="s">
        <v>1</v>
      </c>
      <c r="N208" s="217"/>
    </row>
    <row r="209" spans="1:14" ht="19" thickBot="1" x14ac:dyDescent="0.35">
      <c r="A209" s="624"/>
      <c r="B209" s="182"/>
      <c r="C209" s="182"/>
      <c r="D209" s="182"/>
      <c r="E209" s="245"/>
      <c r="F209" s="245"/>
      <c r="G209" s="244"/>
      <c r="H209" s="243"/>
      <c r="I209" s="182"/>
      <c r="J209" s="182"/>
      <c r="K209" s="182"/>
      <c r="L209" s="231"/>
      <c r="M209" s="230"/>
      <c r="N209" s="217"/>
    </row>
    <row r="210" spans="1:14" ht="21" thickTop="1" thickBot="1" x14ac:dyDescent="0.4">
      <c r="A210" s="624"/>
      <c r="B210" s="182"/>
      <c r="C210" s="256"/>
      <c r="D210" s="255"/>
      <c r="E210" s="254"/>
      <c r="F210" s="254"/>
      <c r="G210" s="253"/>
      <c r="H210" s="254"/>
      <c r="I210" s="251"/>
      <c r="J210" s="182"/>
      <c r="K210" s="182"/>
      <c r="L210" s="231"/>
      <c r="M210" s="230"/>
      <c r="N210" s="217"/>
    </row>
    <row r="211" spans="1:14" ht="20" thickTop="1" thickBot="1" x14ac:dyDescent="0.35">
      <c r="A211" s="624"/>
      <c r="B211" s="182"/>
      <c r="C211" s="236"/>
      <c r="D211" s="241"/>
      <c r="E211" s="250" t="str">
        <f>E168</f>
        <v>CmO</v>
      </c>
      <c r="F211" s="250" t="str">
        <f>F168</f>
        <v>PmO</v>
      </c>
      <c r="G211" s="249" t="str">
        <f>G168</f>
        <v>F&amp;BCmO</v>
      </c>
      <c r="H211" s="248" t="str">
        <f>H168</f>
        <v>BmO</v>
      </c>
      <c r="I211" s="247"/>
      <c r="J211" s="182"/>
      <c r="K211" s="182"/>
      <c r="L211" s="231"/>
      <c r="M211" s="230"/>
      <c r="N211" s="217"/>
    </row>
    <row r="212" spans="1:14" ht="19" thickTop="1" x14ac:dyDescent="0.3">
      <c r="A212" s="624"/>
      <c r="B212" s="182"/>
      <c r="C212" s="236"/>
      <c r="D212" s="246" t="str">
        <f>D169</f>
        <v>OFFRE TOTALE AVEC LES GÂTERIES ET LES CAFÉS GÂTERIES</v>
      </c>
      <c r="E212" s="245"/>
      <c r="F212" s="245"/>
      <c r="G212" s="244"/>
      <c r="H212" s="243"/>
      <c r="I212" s="242"/>
      <c r="J212" s="182"/>
      <c r="K212" s="182"/>
      <c r="L212" s="231"/>
      <c r="M212" s="230"/>
      <c r="N212" s="217"/>
    </row>
    <row r="213" spans="1:14" ht="19" x14ac:dyDescent="0.35">
      <c r="A213" s="624"/>
      <c r="B213" s="182"/>
      <c r="C213" s="236"/>
      <c r="D213" s="241" t="str">
        <f>D170</f>
        <v>CmO—PmO—F&amp;B cost moyen offert—Marge brute</v>
      </c>
      <c r="E213" s="240">
        <f>+(E181+E182+E183+E184+E185+E186+E187+E188+E189+E190+E191+E192+E196+E197+E198+E199+E200+E201+E202+E203+E204+E205+E206+E207)/B207</f>
        <v>2.1649999999999996</v>
      </c>
      <c r="F213" s="240">
        <f>+(F181+F182+F183+F184+F185+F186+F187+F188+F189+F190+F191+F192+F196+F197+F198+F199+F200+F201+F202+F203+F204+F205+F206+F207)/B207</f>
        <v>7.1749999999999998</v>
      </c>
      <c r="G213" s="239">
        <f>E213/F213</f>
        <v>0.30174216027874562</v>
      </c>
      <c r="H213" s="238">
        <f>F213-E213</f>
        <v>5.01</v>
      </c>
      <c r="I213" s="237"/>
      <c r="J213" s="182"/>
      <c r="K213" s="182"/>
      <c r="L213" s="231">
        <f>L170</f>
        <v>2</v>
      </c>
      <c r="M213" s="230">
        <f>'% Occupation'!H19</f>
        <v>196</v>
      </c>
      <c r="N213" s="217"/>
    </row>
    <row r="214" spans="1:14" ht="18" x14ac:dyDescent="0.3">
      <c r="A214" s="624"/>
      <c r="B214" s="182"/>
      <c r="C214" s="236"/>
      <c r="D214" s="182"/>
      <c r="E214" s="235"/>
      <c r="F214" s="235"/>
      <c r="G214" s="234"/>
      <c r="H214" s="233"/>
      <c r="I214" s="232"/>
      <c r="J214" s="182"/>
      <c r="K214" s="182"/>
      <c r="L214" s="231"/>
      <c r="M214" s="230"/>
      <c r="N214" s="217"/>
    </row>
    <row r="215" spans="1:14" ht="19" thickBot="1" x14ac:dyDescent="0.35">
      <c r="A215" s="624"/>
      <c r="B215" s="182"/>
      <c r="C215" s="229"/>
      <c r="D215" s="228"/>
      <c r="E215" s="227"/>
      <c r="F215" s="227"/>
      <c r="G215" s="226"/>
      <c r="H215" s="225"/>
      <c r="I215" s="224"/>
      <c r="J215" s="182"/>
      <c r="K215" s="182"/>
      <c r="L215" s="223"/>
      <c r="M215" s="222"/>
      <c r="N215" s="217"/>
    </row>
    <row r="216" spans="1:14" ht="19" thickTop="1" x14ac:dyDescent="0.3">
      <c r="A216" s="624"/>
      <c r="L216" s="220"/>
      <c r="M216" s="218"/>
      <c r="N216" s="217"/>
    </row>
    <row r="217" spans="1:14" ht="23" x14ac:dyDescent="0.3">
      <c r="A217" s="624"/>
      <c r="D217" s="287" t="s">
        <v>94</v>
      </c>
      <c r="F217" s="283"/>
      <c r="L217" s="220"/>
      <c r="M217" s="218"/>
      <c r="N217" s="217"/>
    </row>
    <row r="218" spans="1:14" ht="24" thickBot="1" x14ac:dyDescent="0.35">
      <c r="A218" s="624"/>
      <c r="D218" s="285"/>
      <c r="L218" s="220"/>
      <c r="M218" s="218"/>
      <c r="N218" s="217"/>
    </row>
    <row r="219" spans="1:14" ht="23" customHeight="1" thickTop="1" x14ac:dyDescent="0.25">
      <c r="A219" s="624"/>
      <c r="D219" s="285"/>
      <c r="E219" s="604" t="str">
        <f>E176</f>
        <v>Coûts des ressources alimentaires pour chaque produit offert (voir recettes standardisées)</v>
      </c>
      <c r="F219" s="604" t="str">
        <f>F176</f>
        <v>Prix de vente par produit offert</v>
      </c>
      <c r="G219" s="604" t="str">
        <f>G176</f>
        <v xml:space="preserve">« Food &amp; Beverage Cost » </v>
      </c>
      <c r="H219" s="604" t="str">
        <f>H176</f>
        <v>Marge brute gagnée sur la vente de chaque produit offert</v>
      </c>
      <c r="I219" s="286"/>
      <c r="L219" s="613" t="s">
        <v>84</v>
      </c>
      <c r="M219" s="613" t="s">
        <v>83</v>
      </c>
      <c r="N219" s="217"/>
    </row>
    <row r="220" spans="1:14" ht="22" x14ac:dyDescent="0.25">
      <c r="A220" s="624"/>
      <c r="D220" s="285"/>
      <c r="E220" s="605"/>
      <c r="F220" s="607"/>
      <c r="G220" s="607"/>
      <c r="H220" s="607"/>
      <c r="I220" s="284"/>
      <c r="L220" s="614"/>
      <c r="M220" s="616"/>
      <c r="N220" s="217"/>
    </row>
    <row r="221" spans="1:14" ht="14" customHeight="1" thickBot="1" x14ac:dyDescent="0.25">
      <c r="A221" s="624"/>
      <c r="E221" s="606"/>
      <c r="F221" s="608"/>
      <c r="G221" s="608"/>
      <c r="H221" s="608"/>
      <c r="I221" s="284"/>
      <c r="L221" s="615"/>
      <c r="M221" s="617"/>
      <c r="N221" s="217"/>
    </row>
    <row r="222" spans="1:14" ht="20" thickTop="1" thickBot="1" x14ac:dyDescent="0.35">
      <c r="A222" s="624"/>
      <c r="B222" s="149" t="s">
        <v>1</v>
      </c>
      <c r="E222" s="283"/>
      <c r="F222" s="283"/>
      <c r="G222" s="282"/>
      <c r="L222" s="220"/>
      <c r="M222" s="218"/>
      <c r="N222" s="217"/>
    </row>
    <row r="223" spans="1:14" ht="19" thickTop="1" x14ac:dyDescent="0.3">
      <c r="A223" s="624"/>
      <c r="B223" s="182"/>
      <c r="C223" s="182"/>
      <c r="D223" s="241" t="str">
        <f t="shared" ref="D223:D236" si="45">D180</f>
        <v>Les Petite Gâteries</v>
      </c>
      <c r="E223" s="264"/>
      <c r="F223" s="264"/>
      <c r="G223" s="244"/>
      <c r="H223" s="182"/>
      <c r="I223" s="182"/>
      <c r="J223" s="182"/>
      <c r="K223" s="182"/>
      <c r="L223" s="281"/>
      <c r="M223" s="280"/>
      <c r="N223" s="217"/>
    </row>
    <row r="224" spans="1:14" ht="18" x14ac:dyDescent="0.3">
      <c r="A224" s="624"/>
      <c r="B224" s="182">
        <f t="shared" ref="B224:C235" si="46">B181</f>
        <v>1</v>
      </c>
      <c r="C224" s="182">
        <f t="shared" si="46"/>
        <v>1</v>
      </c>
      <c r="D224" s="182" t="str">
        <f t="shared" si="45"/>
        <v>Petite Gâterie 1</v>
      </c>
      <c r="E224" s="268">
        <f t="shared" ref="E224:F235" si="47">E181</f>
        <v>1.21</v>
      </c>
      <c r="F224" s="267">
        <f t="shared" si="47"/>
        <v>3.3</v>
      </c>
      <c r="G224" s="266">
        <f t="shared" ref="G224:G236" si="48">E224/F224</f>
        <v>0.3666666666666667</v>
      </c>
      <c r="H224" s="265">
        <f t="shared" ref="H224:H236" si="49">F224-E224</f>
        <v>2.09</v>
      </c>
      <c r="I224" s="264"/>
      <c r="J224" s="182"/>
      <c r="K224" s="182"/>
      <c r="L224" s="279"/>
      <c r="M224" s="230"/>
      <c r="N224" s="217"/>
    </row>
    <row r="225" spans="1:14" ht="18" x14ac:dyDescent="0.3">
      <c r="A225" s="624"/>
      <c r="B225" s="182">
        <f t="shared" si="46"/>
        <v>2</v>
      </c>
      <c r="C225" s="182">
        <f t="shared" si="46"/>
        <v>2</v>
      </c>
      <c r="D225" s="182" t="str">
        <f t="shared" si="45"/>
        <v>Petite Gâterie 2</v>
      </c>
      <c r="E225" s="268">
        <f t="shared" si="47"/>
        <v>1.31</v>
      </c>
      <c r="F225" s="267">
        <f t="shared" si="47"/>
        <v>3.8</v>
      </c>
      <c r="G225" s="266">
        <f t="shared" si="48"/>
        <v>0.34473684210526317</v>
      </c>
      <c r="H225" s="265">
        <f t="shared" si="49"/>
        <v>2.4899999999999998</v>
      </c>
      <c r="I225" s="264"/>
      <c r="J225" s="182"/>
      <c r="K225" s="182"/>
      <c r="L225" s="231"/>
      <c r="M225" s="230"/>
      <c r="N225" s="217"/>
    </row>
    <row r="226" spans="1:14" ht="18" x14ac:dyDescent="0.3">
      <c r="A226" s="624"/>
      <c r="B226" s="182">
        <f t="shared" si="46"/>
        <v>3</v>
      </c>
      <c r="C226" s="182">
        <f t="shared" si="46"/>
        <v>3</v>
      </c>
      <c r="D226" s="182" t="str">
        <f t="shared" si="45"/>
        <v>Petite Gâterie 3</v>
      </c>
      <c r="E226" s="268">
        <f t="shared" si="47"/>
        <v>1.35</v>
      </c>
      <c r="F226" s="267">
        <f t="shared" si="47"/>
        <v>4</v>
      </c>
      <c r="G226" s="266">
        <f t="shared" si="48"/>
        <v>0.33750000000000002</v>
      </c>
      <c r="H226" s="265">
        <f t="shared" si="49"/>
        <v>2.65</v>
      </c>
      <c r="I226" s="264"/>
      <c r="J226" s="182"/>
      <c r="K226" s="182"/>
      <c r="L226" s="231"/>
      <c r="M226" s="230"/>
      <c r="N226" s="217"/>
    </row>
    <row r="227" spans="1:14" ht="18" x14ac:dyDescent="0.3">
      <c r="A227" s="624"/>
      <c r="B227" s="182">
        <f t="shared" si="46"/>
        <v>4</v>
      </c>
      <c r="C227" s="182">
        <f t="shared" si="46"/>
        <v>4</v>
      </c>
      <c r="D227" s="182" t="str">
        <f t="shared" si="45"/>
        <v>Petite Gâterie 4</v>
      </c>
      <c r="E227" s="268">
        <f t="shared" si="47"/>
        <v>1.4</v>
      </c>
      <c r="F227" s="267">
        <f t="shared" si="47"/>
        <v>4.5</v>
      </c>
      <c r="G227" s="266">
        <f t="shared" si="48"/>
        <v>0.31111111111111112</v>
      </c>
      <c r="H227" s="265">
        <f t="shared" si="49"/>
        <v>3.1</v>
      </c>
      <c r="I227" s="264"/>
      <c r="J227" s="182"/>
      <c r="K227" s="182"/>
      <c r="L227" s="231"/>
      <c r="M227" s="230"/>
      <c r="N227" s="217"/>
    </row>
    <row r="228" spans="1:14" ht="18" x14ac:dyDescent="0.3">
      <c r="A228" s="624"/>
      <c r="B228" s="182">
        <f t="shared" si="46"/>
        <v>5</v>
      </c>
      <c r="C228" s="182">
        <f t="shared" si="46"/>
        <v>5</v>
      </c>
      <c r="D228" s="182" t="str">
        <f t="shared" si="45"/>
        <v>Petite Gâterie 5</v>
      </c>
      <c r="E228" s="268">
        <f t="shared" si="47"/>
        <v>1.24</v>
      </c>
      <c r="F228" s="267">
        <f t="shared" si="47"/>
        <v>4.5999999999999996</v>
      </c>
      <c r="G228" s="266">
        <f t="shared" si="48"/>
        <v>0.26956521739130435</v>
      </c>
      <c r="H228" s="265">
        <f t="shared" si="49"/>
        <v>3.3599999999999994</v>
      </c>
      <c r="I228" s="264"/>
      <c r="J228" s="182"/>
      <c r="K228" s="182"/>
      <c r="L228" s="231"/>
      <c r="M228" s="230"/>
      <c r="N228" s="217"/>
    </row>
    <row r="229" spans="1:14" ht="18" x14ac:dyDescent="0.3">
      <c r="A229" s="624"/>
      <c r="B229" s="182">
        <f t="shared" si="46"/>
        <v>6</v>
      </c>
      <c r="C229" s="182">
        <f t="shared" si="46"/>
        <v>6</v>
      </c>
      <c r="D229" s="182" t="str">
        <f t="shared" si="45"/>
        <v>Petite Gâterie 6</v>
      </c>
      <c r="E229" s="268">
        <f t="shared" si="47"/>
        <v>1.39</v>
      </c>
      <c r="F229" s="267">
        <f t="shared" si="47"/>
        <v>4.7</v>
      </c>
      <c r="G229" s="266">
        <f t="shared" si="48"/>
        <v>0.29574468085106381</v>
      </c>
      <c r="H229" s="265">
        <f t="shared" si="49"/>
        <v>3.3100000000000005</v>
      </c>
      <c r="I229" s="264"/>
      <c r="J229" s="182"/>
      <c r="K229" s="182"/>
      <c r="L229" s="231"/>
      <c r="M229" s="230"/>
      <c r="N229" s="217"/>
    </row>
    <row r="230" spans="1:14" ht="18" x14ac:dyDescent="0.3">
      <c r="A230" s="624"/>
      <c r="B230" s="182">
        <f t="shared" si="46"/>
        <v>7</v>
      </c>
      <c r="C230" s="182">
        <f t="shared" si="46"/>
        <v>7</v>
      </c>
      <c r="D230" s="182" t="str">
        <f t="shared" si="45"/>
        <v>Petite Gâterie 7</v>
      </c>
      <c r="E230" s="268">
        <f t="shared" si="47"/>
        <v>1.51</v>
      </c>
      <c r="F230" s="267">
        <f t="shared" si="47"/>
        <v>4.8</v>
      </c>
      <c r="G230" s="266">
        <f t="shared" si="48"/>
        <v>0.31458333333333333</v>
      </c>
      <c r="H230" s="265">
        <f t="shared" si="49"/>
        <v>3.29</v>
      </c>
      <c r="I230" s="264"/>
      <c r="J230" s="182"/>
      <c r="K230" s="182"/>
      <c r="L230" s="231"/>
      <c r="M230" s="230"/>
      <c r="N230" s="217"/>
    </row>
    <row r="231" spans="1:14" ht="18" x14ac:dyDescent="0.3">
      <c r="A231" s="624"/>
      <c r="B231" s="182">
        <f t="shared" si="46"/>
        <v>8</v>
      </c>
      <c r="C231" s="182">
        <f t="shared" si="46"/>
        <v>8</v>
      </c>
      <c r="D231" s="182" t="str">
        <f t="shared" si="45"/>
        <v>Petite Gâterie 8</v>
      </c>
      <c r="E231" s="268">
        <f t="shared" si="47"/>
        <v>1.53</v>
      </c>
      <c r="F231" s="267">
        <f t="shared" si="47"/>
        <v>4.9000000000000004</v>
      </c>
      <c r="G231" s="266">
        <f t="shared" si="48"/>
        <v>0.31224489795918364</v>
      </c>
      <c r="H231" s="265">
        <f t="shared" si="49"/>
        <v>3.37</v>
      </c>
      <c r="I231" s="264"/>
      <c r="J231" s="182"/>
      <c r="K231" s="182"/>
      <c r="L231" s="231"/>
      <c r="M231" s="230"/>
      <c r="N231" s="217"/>
    </row>
    <row r="232" spans="1:14" ht="18" x14ac:dyDescent="0.3">
      <c r="A232" s="624"/>
      <c r="B232" s="182">
        <f t="shared" si="46"/>
        <v>9</v>
      </c>
      <c r="C232" s="182">
        <f t="shared" si="46"/>
        <v>9</v>
      </c>
      <c r="D232" s="182" t="str">
        <f t="shared" si="45"/>
        <v>Petite Gâterie 9</v>
      </c>
      <c r="E232" s="268">
        <f t="shared" si="47"/>
        <v>1.55</v>
      </c>
      <c r="F232" s="267">
        <f t="shared" si="47"/>
        <v>5</v>
      </c>
      <c r="G232" s="266">
        <f t="shared" si="48"/>
        <v>0.31</v>
      </c>
      <c r="H232" s="265">
        <f t="shared" si="49"/>
        <v>3.45</v>
      </c>
      <c r="I232" s="264"/>
      <c r="J232" s="182"/>
      <c r="K232" s="182"/>
      <c r="L232" s="231"/>
      <c r="M232" s="230"/>
      <c r="N232" s="217"/>
    </row>
    <row r="233" spans="1:14" ht="18" x14ac:dyDescent="0.3">
      <c r="A233" s="624"/>
      <c r="B233" s="182">
        <f t="shared" si="46"/>
        <v>10</v>
      </c>
      <c r="C233" s="182">
        <f t="shared" si="46"/>
        <v>10</v>
      </c>
      <c r="D233" s="182" t="str">
        <f t="shared" si="45"/>
        <v>Petite Gâterie 10</v>
      </c>
      <c r="E233" s="268">
        <f t="shared" si="47"/>
        <v>1.59</v>
      </c>
      <c r="F233" s="267">
        <f t="shared" si="47"/>
        <v>5.2</v>
      </c>
      <c r="G233" s="266">
        <f t="shared" si="48"/>
        <v>0.30576923076923079</v>
      </c>
      <c r="H233" s="265">
        <f t="shared" si="49"/>
        <v>3.6100000000000003</v>
      </c>
      <c r="I233" s="264"/>
      <c r="J233" s="182"/>
      <c r="K233" s="182"/>
      <c r="L233" s="231"/>
      <c r="M233" s="230"/>
      <c r="N233" s="217"/>
    </row>
    <row r="234" spans="1:14" ht="18" x14ac:dyDescent="0.3">
      <c r="A234" s="624"/>
      <c r="B234" s="182">
        <f t="shared" si="46"/>
        <v>11</v>
      </c>
      <c r="C234" s="182">
        <f t="shared" si="46"/>
        <v>11</v>
      </c>
      <c r="D234" s="182" t="str">
        <f t="shared" si="45"/>
        <v>Petite Gâterie 11</v>
      </c>
      <c r="E234" s="268">
        <f t="shared" si="47"/>
        <v>1.83</v>
      </c>
      <c r="F234" s="267">
        <f t="shared" si="47"/>
        <v>6.4</v>
      </c>
      <c r="G234" s="266">
        <f t="shared" si="48"/>
        <v>0.28593750000000001</v>
      </c>
      <c r="H234" s="265">
        <f t="shared" si="49"/>
        <v>4.57</v>
      </c>
      <c r="I234" s="264"/>
      <c r="J234" s="182"/>
      <c r="K234" s="182"/>
      <c r="L234" s="231"/>
      <c r="M234" s="230"/>
      <c r="N234" s="217"/>
    </row>
    <row r="235" spans="1:14" ht="18" x14ac:dyDescent="0.3">
      <c r="A235" s="624"/>
      <c r="B235" s="182">
        <f t="shared" si="46"/>
        <v>12</v>
      </c>
      <c r="C235" s="182">
        <f t="shared" si="46"/>
        <v>12</v>
      </c>
      <c r="D235" s="182" t="str">
        <f t="shared" si="45"/>
        <v>Petite Gâterie 12</v>
      </c>
      <c r="E235" s="268">
        <f t="shared" si="47"/>
        <v>1.87</v>
      </c>
      <c r="F235" s="267">
        <f t="shared" si="47"/>
        <v>6.6</v>
      </c>
      <c r="G235" s="266">
        <f t="shared" si="48"/>
        <v>0.28333333333333338</v>
      </c>
      <c r="H235" s="265">
        <f t="shared" si="49"/>
        <v>4.7299999999999995</v>
      </c>
      <c r="I235" s="264"/>
      <c r="J235" s="182"/>
      <c r="K235" s="182"/>
      <c r="L235" s="231"/>
      <c r="M235" s="230"/>
      <c r="N235" s="217"/>
    </row>
    <row r="236" spans="1:14" ht="19" x14ac:dyDescent="0.35">
      <c r="A236" s="624"/>
      <c r="B236" s="182"/>
      <c r="C236" s="182"/>
      <c r="D236" s="241" t="str">
        <f t="shared" si="45"/>
        <v>CmO—PmO—Food Cost—BmO</v>
      </c>
      <c r="E236" s="262">
        <f>SUM(E224:E235)/C235</f>
        <v>1.4816666666666667</v>
      </c>
      <c r="F236" s="262">
        <f>SUM(F224:F235)/C235</f>
        <v>4.8166666666666673</v>
      </c>
      <c r="G236" s="277">
        <f t="shared" si="48"/>
        <v>0.30761245674740478</v>
      </c>
      <c r="H236" s="260">
        <f t="shared" si="49"/>
        <v>3.3350000000000009</v>
      </c>
      <c r="I236" s="259"/>
      <c r="J236" s="182"/>
      <c r="K236" s="182"/>
      <c r="L236" s="291">
        <v>1</v>
      </c>
      <c r="M236" s="230" t="s">
        <v>1</v>
      </c>
      <c r="N236" s="217"/>
    </row>
    <row r="237" spans="1:14" ht="18" x14ac:dyDescent="0.3">
      <c r="A237" s="624"/>
      <c r="B237" s="182" t="s">
        <v>1</v>
      </c>
      <c r="C237" s="182"/>
      <c r="D237" s="182"/>
      <c r="E237" s="245"/>
      <c r="F237" s="245"/>
      <c r="G237" s="266"/>
      <c r="H237" s="243"/>
      <c r="I237" s="182"/>
      <c r="J237" s="182"/>
      <c r="K237" s="182"/>
      <c r="L237" s="231"/>
      <c r="M237" s="230"/>
      <c r="N237" s="217"/>
    </row>
    <row r="238" spans="1:14" ht="18" x14ac:dyDescent="0.3">
      <c r="A238" s="624"/>
      <c r="B238" s="182"/>
      <c r="C238" s="182"/>
      <c r="D238" s="241" t="str">
        <f t="shared" ref="D238:D251" si="50">D195</f>
        <v>Les Boissons  Gâteries</v>
      </c>
      <c r="E238" s="245"/>
      <c r="F238" s="245"/>
      <c r="G238" s="266"/>
      <c r="H238" s="243"/>
      <c r="I238" s="182"/>
      <c r="J238" s="182"/>
      <c r="K238" s="182"/>
      <c r="L238" s="231"/>
      <c r="M238" s="230"/>
      <c r="N238" s="217"/>
    </row>
    <row r="239" spans="1:14" ht="18" x14ac:dyDescent="0.3">
      <c r="A239" s="624"/>
      <c r="B239" s="182">
        <f t="shared" ref="B239:C250" si="51">B196</f>
        <v>13</v>
      </c>
      <c r="C239" s="182">
        <f t="shared" si="51"/>
        <v>1</v>
      </c>
      <c r="D239" s="182" t="str">
        <f t="shared" si="50"/>
        <v>Boisson spécial numéro 1</v>
      </c>
      <c r="E239" s="268">
        <f t="shared" ref="E239:F250" si="52">E196</f>
        <v>2.2799999999999998</v>
      </c>
      <c r="F239" s="267">
        <f t="shared" si="52"/>
        <v>6.6</v>
      </c>
      <c r="G239" s="266">
        <f t="shared" ref="G239:G251" si="53">E239/F239</f>
        <v>0.34545454545454546</v>
      </c>
      <c r="H239" s="265">
        <f t="shared" ref="H239:H251" si="54">F239-E239</f>
        <v>4.32</v>
      </c>
      <c r="I239" s="264"/>
      <c r="J239" s="182"/>
      <c r="K239" s="182"/>
      <c r="L239" s="231"/>
      <c r="M239" s="230"/>
      <c r="N239" s="217"/>
    </row>
    <row r="240" spans="1:14" ht="18" x14ac:dyDescent="0.3">
      <c r="A240" s="624"/>
      <c r="B240" s="182">
        <f t="shared" si="51"/>
        <v>14</v>
      </c>
      <c r="C240" s="182">
        <f t="shared" si="51"/>
        <v>2</v>
      </c>
      <c r="D240" s="182" t="str">
        <f t="shared" si="50"/>
        <v>Boisson spécial numéro 2</v>
      </c>
      <c r="E240" s="268">
        <f t="shared" si="52"/>
        <v>2.66</v>
      </c>
      <c r="F240" s="267">
        <f t="shared" si="52"/>
        <v>7.6</v>
      </c>
      <c r="G240" s="266">
        <f t="shared" si="53"/>
        <v>0.35000000000000003</v>
      </c>
      <c r="H240" s="265">
        <f t="shared" si="54"/>
        <v>4.9399999999999995</v>
      </c>
      <c r="I240" s="264"/>
      <c r="J240" s="182"/>
      <c r="K240" s="182"/>
      <c r="L240" s="231"/>
      <c r="M240" s="230"/>
      <c r="N240" s="217"/>
    </row>
    <row r="241" spans="1:14" ht="18" x14ac:dyDescent="0.3">
      <c r="A241" s="624"/>
      <c r="B241" s="182">
        <f t="shared" si="51"/>
        <v>15</v>
      </c>
      <c r="C241" s="182">
        <f t="shared" si="51"/>
        <v>3</v>
      </c>
      <c r="D241" s="182" t="str">
        <f t="shared" si="50"/>
        <v>Boisson spécial numéro 3</v>
      </c>
      <c r="E241" s="268">
        <f t="shared" si="52"/>
        <v>2.74</v>
      </c>
      <c r="F241" s="267">
        <f t="shared" si="52"/>
        <v>8</v>
      </c>
      <c r="G241" s="266">
        <f t="shared" si="53"/>
        <v>0.34250000000000003</v>
      </c>
      <c r="H241" s="265">
        <f t="shared" si="54"/>
        <v>5.26</v>
      </c>
      <c r="I241" s="264"/>
      <c r="J241" s="182"/>
      <c r="K241" s="182"/>
      <c r="L241" s="231"/>
      <c r="M241" s="230"/>
      <c r="N241" s="217"/>
    </row>
    <row r="242" spans="1:14" ht="18" x14ac:dyDescent="0.3">
      <c r="A242" s="624"/>
      <c r="B242" s="182">
        <f t="shared" si="51"/>
        <v>16</v>
      </c>
      <c r="C242" s="182">
        <f t="shared" si="51"/>
        <v>4</v>
      </c>
      <c r="D242" s="182" t="str">
        <f t="shared" si="50"/>
        <v>Boisson spécial numéro 4</v>
      </c>
      <c r="E242" s="268">
        <f t="shared" si="52"/>
        <v>2.72</v>
      </c>
      <c r="F242" s="267">
        <f t="shared" si="52"/>
        <v>9</v>
      </c>
      <c r="G242" s="266">
        <f t="shared" si="53"/>
        <v>0.30222222222222223</v>
      </c>
      <c r="H242" s="265">
        <f t="shared" si="54"/>
        <v>6.2799999999999994</v>
      </c>
      <c r="I242" s="264"/>
      <c r="J242" s="182"/>
      <c r="K242" s="182"/>
      <c r="L242" s="231"/>
      <c r="M242" s="230"/>
      <c r="N242" s="217"/>
    </row>
    <row r="243" spans="1:14" ht="18" x14ac:dyDescent="0.3">
      <c r="A243" s="624"/>
      <c r="B243" s="182">
        <f t="shared" si="51"/>
        <v>17</v>
      </c>
      <c r="C243" s="182">
        <f t="shared" si="51"/>
        <v>5</v>
      </c>
      <c r="D243" s="182" t="str">
        <f t="shared" si="50"/>
        <v>Boisson spécial numéro 5</v>
      </c>
      <c r="E243" s="268">
        <f t="shared" si="52"/>
        <v>2.76</v>
      </c>
      <c r="F243" s="267">
        <f t="shared" si="52"/>
        <v>9.1999999999999993</v>
      </c>
      <c r="G243" s="266">
        <f t="shared" si="53"/>
        <v>0.3</v>
      </c>
      <c r="H243" s="265">
        <f t="shared" si="54"/>
        <v>6.4399999999999995</v>
      </c>
      <c r="I243" s="264"/>
      <c r="J243" s="182"/>
      <c r="K243" s="182"/>
      <c r="L243" s="231"/>
      <c r="M243" s="230"/>
      <c r="N243" s="217"/>
    </row>
    <row r="244" spans="1:14" ht="18" x14ac:dyDescent="0.3">
      <c r="A244" s="624"/>
      <c r="B244" s="182">
        <f t="shared" si="51"/>
        <v>18</v>
      </c>
      <c r="C244" s="182">
        <f t="shared" si="51"/>
        <v>6</v>
      </c>
      <c r="D244" s="182" t="str">
        <f t="shared" si="50"/>
        <v>Boisson spécial numéro 6</v>
      </c>
      <c r="E244" s="268">
        <f t="shared" si="52"/>
        <v>2.8</v>
      </c>
      <c r="F244" s="267">
        <f t="shared" si="52"/>
        <v>9.4</v>
      </c>
      <c r="G244" s="266">
        <f t="shared" si="53"/>
        <v>0.2978723404255319</v>
      </c>
      <c r="H244" s="265">
        <f t="shared" si="54"/>
        <v>6.6000000000000005</v>
      </c>
      <c r="I244" s="264"/>
      <c r="J244" s="182"/>
      <c r="K244" s="182"/>
      <c r="L244" s="231"/>
      <c r="M244" s="230"/>
      <c r="N244" s="217"/>
    </row>
    <row r="245" spans="1:14" ht="18" x14ac:dyDescent="0.3">
      <c r="A245" s="624"/>
      <c r="B245" s="182">
        <f t="shared" si="51"/>
        <v>19</v>
      </c>
      <c r="C245" s="182">
        <f t="shared" si="51"/>
        <v>7</v>
      </c>
      <c r="D245" s="182" t="str">
        <f t="shared" si="50"/>
        <v>Boisson spécial numéro 7</v>
      </c>
      <c r="E245" s="268">
        <f t="shared" si="52"/>
        <v>2.82</v>
      </c>
      <c r="F245" s="267">
        <f t="shared" si="52"/>
        <v>9.6</v>
      </c>
      <c r="G245" s="266">
        <f t="shared" si="53"/>
        <v>0.29375000000000001</v>
      </c>
      <c r="H245" s="265">
        <f t="shared" si="54"/>
        <v>6.7799999999999994</v>
      </c>
      <c r="I245" s="264"/>
      <c r="J245" s="182"/>
      <c r="K245" s="182"/>
      <c r="L245" s="231"/>
      <c r="M245" s="230"/>
      <c r="N245" s="217"/>
    </row>
    <row r="246" spans="1:14" ht="18" x14ac:dyDescent="0.3">
      <c r="A246" s="624"/>
      <c r="B246" s="182">
        <f t="shared" si="51"/>
        <v>20</v>
      </c>
      <c r="C246" s="182">
        <f t="shared" si="51"/>
        <v>8</v>
      </c>
      <c r="D246" s="182" t="str">
        <f t="shared" si="50"/>
        <v>Boisson spécial numéro 8</v>
      </c>
      <c r="E246" s="268">
        <f t="shared" si="52"/>
        <v>2.86</v>
      </c>
      <c r="F246" s="267">
        <f t="shared" si="52"/>
        <v>9.8000000000000007</v>
      </c>
      <c r="G246" s="266">
        <f t="shared" si="53"/>
        <v>0.2918367346938775</v>
      </c>
      <c r="H246" s="265">
        <f t="shared" si="54"/>
        <v>6.9400000000000013</v>
      </c>
      <c r="I246" s="264"/>
      <c r="J246" s="182"/>
      <c r="K246" s="182"/>
      <c r="L246" s="231"/>
      <c r="M246" s="230"/>
      <c r="N246" s="217"/>
    </row>
    <row r="247" spans="1:14" ht="18" x14ac:dyDescent="0.3">
      <c r="A247" s="624"/>
      <c r="B247" s="182">
        <f t="shared" si="51"/>
        <v>21</v>
      </c>
      <c r="C247" s="182">
        <f t="shared" si="51"/>
        <v>9</v>
      </c>
      <c r="D247" s="182" t="str">
        <f t="shared" si="50"/>
        <v>Boisson spécial numéro 9</v>
      </c>
      <c r="E247" s="268">
        <f t="shared" si="52"/>
        <v>2.9</v>
      </c>
      <c r="F247" s="267">
        <f t="shared" si="52"/>
        <v>10</v>
      </c>
      <c r="G247" s="266">
        <f t="shared" si="53"/>
        <v>0.28999999999999998</v>
      </c>
      <c r="H247" s="265">
        <f t="shared" si="54"/>
        <v>7.1</v>
      </c>
      <c r="I247" s="264"/>
      <c r="J247" s="182"/>
      <c r="K247" s="182"/>
      <c r="L247" s="231"/>
      <c r="M247" s="230"/>
      <c r="N247" s="217"/>
    </row>
    <row r="248" spans="1:14" ht="18" x14ac:dyDescent="0.3">
      <c r="A248" s="624"/>
      <c r="B248" s="182">
        <f t="shared" si="51"/>
        <v>22</v>
      </c>
      <c r="C248" s="182">
        <f t="shared" si="51"/>
        <v>10</v>
      </c>
      <c r="D248" s="182" t="str">
        <f t="shared" si="50"/>
        <v>Boisson spécial numéro 10</v>
      </c>
      <c r="E248" s="268">
        <f t="shared" si="52"/>
        <v>2.98</v>
      </c>
      <c r="F248" s="267">
        <f t="shared" si="52"/>
        <v>10.4</v>
      </c>
      <c r="G248" s="266">
        <f t="shared" si="53"/>
        <v>0.28653846153846152</v>
      </c>
      <c r="H248" s="265">
        <f t="shared" si="54"/>
        <v>7.42</v>
      </c>
      <c r="I248" s="264"/>
      <c r="J248" s="182"/>
      <c r="K248" s="182"/>
      <c r="L248" s="231"/>
      <c r="M248" s="230"/>
      <c r="N248" s="217"/>
    </row>
    <row r="249" spans="1:14" ht="18" x14ac:dyDescent="0.3">
      <c r="A249" s="624"/>
      <c r="B249" s="182">
        <f t="shared" si="51"/>
        <v>23</v>
      </c>
      <c r="C249" s="182">
        <f t="shared" si="51"/>
        <v>11</v>
      </c>
      <c r="D249" s="182" t="str">
        <f t="shared" si="50"/>
        <v>Boisson spécial numéro 11</v>
      </c>
      <c r="E249" s="268">
        <f t="shared" si="52"/>
        <v>3.18</v>
      </c>
      <c r="F249" s="267">
        <f t="shared" si="52"/>
        <v>11.6</v>
      </c>
      <c r="G249" s="266">
        <f t="shared" si="53"/>
        <v>0.27413793103448281</v>
      </c>
      <c r="H249" s="265">
        <f t="shared" si="54"/>
        <v>8.42</v>
      </c>
      <c r="I249" s="264"/>
      <c r="J249" s="182"/>
      <c r="K249" s="182"/>
      <c r="L249" s="231"/>
      <c r="M249" s="230"/>
      <c r="N249" s="217"/>
    </row>
    <row r="250" spans="1:14" ht="18" x14ac:dyDescent="0.3">
      <c r="A250" s="624"/>
      <c r="B250" s="182">
        <f t="shared" si="51"/>
        <v>24</v>
      </c>
      <c r="C250" s="182">
        <f t="shared" si="51"/>
        <v>12</v>
      </c>
      <c r="D250" s="182" t="str">
        <f t="shared" si="50"/>
        <v>Boisson spécial numéro 12</v>
      </c>
      <c r="E250" s="268">
        <f t="shared" si="52"/>
        <v>3.48</v>
      </c>
      <c r="F250" s="267">
        <f t="shared" si="52"/>
        <v>13.2</v>
      </c>
      <c r="G250" s="266">
        <f t="shared" si="53"/>
        <v>0.26363636363636367</v>
      </c>
      <c r="H250" s="265">
        <f t="shared" si="54"/>
        <v>9.7199999999999989</v>
      </c>
      <c r="I250" s="264"/>
      <c r="J250" s="182"/>
      <c r="K250" s="182"/>
      <c r="L250" s="231"/>
      <c r="M250" s="230"/>
      <c r="N250" s="217"/>
    </row>
    <row r="251" spans="1:14" ht="19" x14ac:dyDescent="0.35">
      <c r="A251" s="624"/>
      <c r="B251" s="182"/>
      <c r="C251" s="182"/>
      <c r="D251" s="241" t="str">
        <f t="shared" si="50"/>
        <v>CmO—PmO—Beverage Cost—Marge brute</v>
      </c>
      <c r="E251" s="262">
        <f>SUM(E239:E250)/C250</f>
        <v>2.8483333333333332</v>
      </c>
      <c r="F251" s="262">
        <f>SUM(F239:F250)/C250</f>
        <v>9.5333333333333332</v>
      </c>
      <c r="G251" s="261">
        <f t="shared" si="53"/>
        <v>0.29877622377622376</v>
      </c>
      <c r="H251" s="260">
        <f t="shared" si="54"/>
        <v>6.6850000000000005</v>
      </c>
      <c r="I251" s="259"/>
      <c r="J251" s="182"/>
      <c r="K251" s="182"/>
      <c r="L251" s="291">
        <v>1</v>
      </c>
      <c r="M251" s="230" t="s">
        <v>1</v>
      </c>
      <c r="N251" s="217"/>
    </row>
    <row r="252" spans="1:14" ht="19" thickBot="1" x14ac:dyDescent="0.35">
      <c r="A252" s="624"/>
      <c r="B252" s="182"/>
      <c r="C252" s="182"/>
      <c r="D252" s="182"/>
      <c r="E252" s="245"/>
      <c r="F252" s="245"/>
      <c r="G252" s="244"/>
      <c r="H252" s="243"/>
      <c r="I252" s="182"/>
      <c r="J252" s="182"/>
      <c r="K252" s="182"/>
      <c r="L252" s="231"/>
      <c r="M252" s="230"/>
      <c r="N252" s="217"/>
    </row>
    <row r="253" spans="1:14" ht="21" thickTop="1" thickBot="1" x14ac:dyDescent="0.4">
      <c r="A253" s="624"/>
      <c r="B253" s="182"/>
      <c r="C253" s="256"/>
      <c r="D253" s="255"/>
      <c r="E253" s="254"/>
      <c r="F253" s="254"/>
      <c r="G253" s="253"/>
      <c r="H253" s="252"/>
      <c r="I253" s="251"/>
      <c r="J253" s="182"/>
      <c r="K253" s="182"/>
      <c r="L253" s="231"/>
      <c r="M253" s="230"/>
      <c r="N253" s="217"/>
    </row>
    <row r="254" spans="1:14" ht="20" thickTop="1" thickBot="1" x14ac:dyDescent="0.35">
      <c r="A254" s="624"/>
      <c r="B254" s="182"/>
      <c r="C254" s="236"/>
      <c r="D254" s="241"/>
      <c r="E254" s="250" t="str">
        <f>E211</f>
        <v>CmO</v>
      </c>
      <c r="F254" s="250" t="str">
        <f>F211</f>
        <v>PmO</v>
      </c>
      <c r="G254" s="249" t="str">
        <f>G211</f>
        <v>F&amp;BCmO</v>
      </c>
      <c r="H254" s="248" t="str">
        <f>H211</f>
        <v>BmO</v>
      </c>
      <c r="I254" s="247"/>
      <c r="J254" s="182"/>
      <c r="K254" s="182"/>
      <c r="L254" s="231"/>
      <c r="M254" s="230"/>
      <c r="N254" s="217"/>
    </row>
    <row r="255" spans="1:14" ht="19" thickTop="1" x14ac:dyDescent="0.3">
      <c r="A255" s="624"/>
      <c r="B255" s="182"/>
      <c r="C255" s="236"/>
      <c r="D255" s="246" t="str">
        <f>D212</f>
        <v>OFFRE TOTALE AVEC LES GÂTERIES ET LES CAFÉS GÂTERIES</v>
      </c>
      <c r="E255" s="245"/>
      <c r="F255" s="245"/>
      <c r="G255" s="244"/>
      <c r="H255" s="243"/>
      <c r="I255" s="242"/>
      <c r="J255" s="182"/>
      <c r="K255" s="182"/>
      <c r="L255" s="231"/>
      <c r="M255" s="230"/>
      <c r="N255" s="217"/>
    </row>
    <row r="256" spans="1:14" ht="19" x14ac:dyDescent="0.35">
      <c r="A256" s="624"/>
      <c r="B256" s="182"/>
      <c r="C256" s="236"/>
      <c r="D256" s="241" t="str">
        <f>D213</f>
        <v>CmO—PmO—F&amp;B cost moyen offert—Marge brute</v>
      </c>
      <c r="E256" s="240">
        <f>+(E224+E225+E226+E227+E228+E229+E230+E231+E232+E233+E234+E235+E239+E240+E241+E242+E243+E244+E245+E246+E247+E248+E249+E250)/B250</f>
        <v>2.1649999999999996</v>
      </c>
      <c r="F256" s="240">
        <f>+(F224+F225+F226+F227+F228+F229+F230+F231+F232+F233+F234+F235+F239+F240+F241+F242+F243+F244+F245+F246+F247+F248+F249+F250)/B250</f>
        <v>7.1749999999999998</v>
      </c>
      <c r="G256" s="239">
        <f>E256/F256</f>
        <v>0.30174216027874562</v>
      </c>
      <c r="H256" s="238">
        <f>F256-E256</f>
        <v>5.01</v>
      </c>
      <c r="I256" s="237"/>
      <c r="J256" s="182"/>
      <c r="K256" s="182"/>
      <c r="L256" s="231">
        <f>L213</f>
        <v>2</v>
      </c>
      <c r="M256" s="230">
        <f>'% Occupation'!I19</f>
        <v>196</v>
      </c>
      <c r="N256" s="217"/>
    </row>
    <row r="257" spans="1:14" ht="18" x14ac:dyDescent="0.3">
      <c r="A257" s="624"/>
      <c r="B257" s="182"/>
      <c r="C257" s="236"/>
      <c r="D257" s="182"/>
      <c r="E257" s="235"/>
      <c r="F257" s="235"/>
      <c r="G257" s="234"/>
      <c r="H257" s="233"/>
      <c r="I257" s="232"/>
      <c r="J257" s="182"/>
      <c r="K257" s="182"/>
      <c r="L257" s="231"/>
      <c r="M257" s="230"/>
      <c r="N257" s="217"/>
    </row>
    <row r="258" spans="1:14" ht="19" thickBot="1" x14ac:dyDescent="0.35">
      <c r="A258" s="625"/>
      <c r="B258" s="182"/>
      <c r="C258" s="229"/>
      <c r="D258" s="228"/>
      <c r="E258" s="227"/>
      <c r="F258" s="227"/>
      <c r="G258" s="226"/>
      <c r="H258" s="225"/>
      <c r="I258" s="224"/>
      <c r="J258" s="182"/>
      <c r="K258" s="182"/>
      <c r="L258" s="223"/>
      <c r="M258" s="222"/>
      <c r="N258" s="217"/>
    </row>
    <row r="259" spans="1:14" ht="19" thickTop="1" x14ac:dyDescent="0.3">
      <c r="L259" s="220"/>
      <c r="M259" s="292"/>
      <c r="N259" s="217"/>
    </row>
    <row r="260" spans="1:14" ht="23" x14ac:dyDescent="0.3">
      <c r="A260" s="623" t="s">
        <v>93</v>
      </c>
      <c r="D260" s="287" t="s">
        <v>92</v>
      </c>
      <c r="F260" s="283"/>
      <c r="L260" s="220"/>
      <c r="M260" s="292"/>
      <c r="N260" s="217"/>
    </row>
    <row r="261" spans="1:14" ht="24" thickBot="1" x14ac:dyDescent="0.35">
      <c r="A261" s="624"/>
      <c r="D261" s="285"/>
      <c r="L261" s="220"/>
      <c r="M261" s="292"/>
      <c r="N261" s="217"/>
    </row>
    <row r="262" spans="1:14" ht="23" customHeight="1" thickTop="1" x14ac:dyDescent="0.25">
      <c r="A262" s="624"/>
      <c r="D262" s="285"/>
      <c r="E262" s="604" t="str">
        <f>E219</f>
        <v>Coûts des ressources alimentaires pour chaque produit offert (voir recettes standardisées)</v>
      </c>
      <c r="F262" s="604" t="str">
        <f>F219</f>
        <v>Prix de vente par produit offert</v>
      </c>
      <c r="G262" s="604" t="str">
        <f>G219</f>
        <v xml:space="preserve">« Food &amp; Beverage Cost » </v>
      </c>
      <c r="H262" s="604" t="str">
        <f>H219</f>
        <v>Marge brute gagnée sur la vente de chaque produit offert</v>
      </c>
      <c r="I262" s="286"/>
      <c r="L262" s="613" t="s">
        <v>84</v>
      </c>
      <c r="M262" s="620" t="s">
        <v>83</v>
      </c>
      <c r="N262" s="217"/>
    </row>
    <row r="263" spans="1:14" ht="22" x14ac:dyDescent="0.25">
      <c r="A263" s="624"/>
      <c r="D263" s="285"/>
      <c r="E263" s="605"/>
      <c r="F263" s="607"/>
      <c r="G263" s="607"/>
      <c r="H263" s="607"/>
      <c r="I263" s="284"/>
      <c r="L263" s="614"/>
      <c r="M263" s="621"/>
      <c r="N263" s="217"/>
    </row>
    <row r="264" spans="1:14" ht="14" customHeight="1" thickBot="1" x14ac:dyDescent="0.25">
      <c r="A264" s="624"/>
      <c r="E264" s="606"/>
      <c r="F264" s="608"/>
      <c r="G264" s="608"/>
      <c r="H264" s="608"/>
      <c r="I264" s="284"/>
      <c r="L264" s="615"/>
      <c r="M264" s="622"/>
      <c r="N264" s="217"/>
    </row>
    <row r="265" spans="1:14" ht="20" thickTop="1" thickBot="1" x14ac:dyDescent="0.35">
      <c r="A265" s="624"/>
      <c r="B265" s="149" t="s">
        <v>1</v>
      </c>
      <c r="E265" s="283"/>
      <c r="F265" s="283"/>
      <c r="G265" s="282"/>
      <c r="L265" s="220"/>
      <c r="M265" s="292"/>
      <c r="N265" s="217"/>
    </row>
    <row r="266" spans="1:14" ht="19" thickTop="1" x14ac:dyDescent="0.3">
      <c r="A266" s="624"/>
      <c r="B266" s="182"/>
      <c r="C266" s="182"/>
      <c r="D266" s="241" t="str">
        <f t="shared" ref="D266:D279" si="55">D223</f>
        <v>Les Petite Gâteries</v>
      </c>
      <c r="E266" s="264"/>
      <c r="F266" s="264"/>
      <c r="G266" s="244"/>
      <c r="H266" s="182"/>
      <c r="I266" s="182"/>
      <c r="J266" s="182"/>
      <c r="K266" s="182"/>
      <c r="L266" s="281"/>
      <c r="M266" s="280"/>
      <c r="N266" s="217"/>
    </row>
    <row r="267" spans="1:14" ht="18" x14ac:dyDescent="0.3">
      <c r="A267" s="624"/>
      <c r="B267" s="182">
        <f t="shared" ref="B267:C278" si="56">B224</f>
        <v>1</v>
      </c>
      <c r="C267" s="182">
        <f t="shared" si="56"/>
        <v>1</v>
      </c>
      <c r="D267" s="182" t="str">
        <f t="shared" si="55"/>
        <v>Petite Gâterie 1</v>
      </c>
      <c r="E267" s="268">
        <f t="shared" ref="E267:F278" si="57">E224</f>
        <v>1.21</v>
      </c>
      <c r="F267" s="276">
        <f t="shared" si="57"/>
        <v>3.3</v>
      </c>
      <c r="G267" s="266">
        <f t="shared" ref="G267:G279" si="58">E267/F267</f>
        <v>0.3666666666666667</v>
      </c>
      <c r="H267" s="265">
        <f t="shared" ref="H267:H279" si="59">F267-E267</f>
        <v>2.09</v>
      </c>
      <c r="I267" s="264">
        <f>F267</f>
        <v>3.3</v>
      </c>
      <c r="J267" s="618">
        <f>3/12</f>
        <v>0.25</v>
      </c>
      <c r="K267" s="269"/>
      <c r="L267" s="279"/>
      <c r="M267" s="230"/>
      <c r="N267" s="217"/>
    </row>
    <row r="268" spans="1:14" ht="18" x14ac:dyDescent="0.3">
      <c r="A268" s="624"/>
      <c r="B268" s="182">
        <f t="shared" si="56"/>
        <v>2</v>
      </c>
      <c r="C268" s="182">
        <f t="shared" si="56"/>
        <v>2</v>
      </c>
      <c r="D268" s="182" t="str">
        <f t="shared" si="55"/>
        <v>Petite Gâterie 2</v>
      </c>
      <c r="E268" s="268">
        <f t="shared" si="57"/>
        <v>1.31</v>
      </c>
      <c r="F268" s="276">
        <f t="shared" si="57"/>
        <v>3.8</v>
      </c>
      <c r="G268" s="266">
        <f t="shared" si="58"/>
        <v>0.34473684210526317</v>
      </c>
      <c r="H268" s="265">
        <f t="shared" si="59"/>
        <v>2.4899999999999998</v>
      </c>
      <c r="I268" s="264"/>
      <c r="J268" s="610"/>
      <c r="K268" s="263"/>
      <c r="L268" s="231"/>
      <c r="M268" s="230"/>
      <c r="N268" s="217"/>
    </row>
    <row r="269" spans="1:14" ht="19" thickBot="1" x14ac:dyDescent="0.35">
      <c r="A269" s="624"/>
      <c r="B269" s="275">
        <f t="shared" si="56"/>
        <v>3</v>
      </c>
      <c r="C269" s="275">
        <f t="shared" si="56"/>
        <v>3</v>
      </c>
      <c r="D269" s="275" t="str">
        <f t="shared" si="55"/>
        <v>Petite Gâterie 3</v>
      </c>
      <c r="E269" s="274">
        <f t="shared" si="57"/>
        <v>1.35</v>
      </c>
      <c r="F269" s="278">
        <f t="shared" si="57"/>
        <v>4</v>
      </c>
      <c r="G269" s="272">
        <f t="shared" si="58"/>
        <v>0.33750000000000002</v>
      </c>
      <c r="H269" s="271">
        <f t="shared" si="59"/>
        <v>2.65</v>
      </c>
      <c r="I269" s="270">
        <f>+I267+1.066667</f>
        <v>4.3666669999999996</v>
      </c>
      <c r="J269" s="619"/>
      <c r="K269" s="263"/>
      <c r="L269" s="231"/>
      <c r="M269" s="230"/>
      <c r="N269" s="217"/>
    </row>
    <row r="270" spans="1:14" ht="18" x14ac:dyDescent="0.3">
      <c r="A270" s="624"/>
      <c r="B270" s="182">
        <f t="shared" si="56"/>
        <v>4</v>
      </c>
      <c r="C270" s="182">
        <f t="shared" si="56"/>
        <v>4</v>
      </c>
      <c r="D270" s="182" t="str">
        <f t="shared" si="55"/>
        <v>Petite Gâterie 4</v>
      </c>
      <c r="E270" s="268">
        <f t="shared" si="57"/>
        <v>1.4</v>
      </c>
      <c r="F270" s="276">
        <f t="shared" si="57"/>
        <v>4.5</v>
      </c>
      <c r="G270" s="266">
        <f t="shared" si="58"/>
        <v>0.31111111111111112</v>
      </c>
      <c r="H270" s="265">
        <f t="shared" si="59"/>
        <v>3.1</v>
      </c>
      <c r="I270" s="264">
        <f>+I269+0.01</f>
        <v>4.3766669999999994</v>
      </c>
      <c r="J270" s="609">
        <f>7/12</f>
        <v>0.58333333333333337</v>
      </c>
      <c r="K270" s="269"/>
      <c r="L270" s="231"/>
      <c r="M270" s="230"/>
      <c r="N270" s="217"/>
    </row>
    <row r="271" spans="1:14" ht="18" x14ac:dyDescent="0.3">
      <c r="A271" s="624"/>
      <c r="B271" s="182">
        <f t="shared" si="56"/>
        <v>5</v>
      </c>
      <c r="C271" s="182">
        <f t="shared" si="56"/>
        <v>5</v>
      </c>
      <c r="D271" s="182" t="str">
        <f t="shared" si="55"/>
        <v>Petite Gâterie 5</v>
      </c>
      <c r="E271" s="268">
        <f t="shared" si="57"/>
        <v>1.24</v>
      </c>
      <c r="F271" s="276">
        <f t="shared" si="57"/>
        <v>4.5999999999999996</v>
      </c>
      <c r="G271" s="266">
        <f t="shared" si="58"/>
        <v>0.26956521739130435</v>
      </c>
      <c r="H271" s="265">
        <f t="shared" si="59"/>
        <v>3.3599999999999994</v>
      </c>
      <c r="I271" s="264"/>
      <c r="J271" s="610"/>
      <c r="K271" s="263"/>
      <c r="L271" s="231"/>
      <c r="M271" s="230"/>
      <c r="N271" s="217"/>
    </row>
    <row r="272" spans="1:14" ht="18" x14ac:dyDescent="0.3">
      <c r="A272" s="624"/>
      <c r="B272" s="182">
        <f t="shared" si="56"/>
        <v>6</v>
      </c>
      <c r="C272" s="182">
        <f t="shared" si="56"/>
        <v>6</v>
      </c>
      <c r="D272" s="182" t="str">
        <f t="shared" si="55"/>
        <v>Petite Gâterie 6</v>
      </c>
      <c r="E272" s="268">
        <f t="shared" si="57"/>
        <v>1.39</v>
      </c>
      <c r="F272" s="276">
        <f t="shared" si="57"/>
        <v>4.7</v>
      </c>
      <c r="G272" s="266">
        <f t="shared" si="58"/>
        <v>0.29574468085106381</v>
      </c>
      <c r="H272" s="265">
        <f t="shared" si="59"/>
        <v>3.3100000000000005</v>
      </c>
      <c r="I272" s="264"/>
      <c r="J272" s="610"/>
      <c r="K272" s="263"/>
      <c r="L272" s="231"/>
      <c r="M272" s="230"/>
      <c r="N272" s="217"/>
    </row>
    <row r="273" spans="1:14" ht="18" x14ac:dyDescent="0.3">
      <c r="A273" s="624"/>
      <c r="B273" s="182">
        <f t="shared" si="56"/>
        <v>7</v>
      </c>
      <c r="C273" s="182">
        <f t="shared" si="56"/>
        <v>7</v>
      </c>
      <c r="D273" s="182" t="str">
        <f t="shared" si="55"/>
        <v>Petite Gâterie 7</v>
      </c>
      <c r="E273" s="268">
        <f t="shared" si="57"/>
        <v>1.51</v>
      </c>
      <c r="F273" s="276">
        <f t="shared" si="57"/>
        <v>4.8</v>
      </c>
      <c r="G273" s="266">
        <f t="shared" si="58"/>
        <v>0.31458333333333333</v>
      </c>
      <c r="H273" s="265">
        <f t="shared" si="59"/>
        <v>3.29</v>
      </c>
      <c r="I273" s="264"/>
      <c r="J273" s="610"/>
      <c r="K273" s="263"/>
      <c r="L273" s="231"/>
      <c r="M273" s="230"/>
      <c r="N273" s="217"/>
    </row>
    <row r="274" spans="1:14" ht="18" x14ac:dyDescent="0.3">
      <c r="A274" s="624"/>
      <c r="B274" s="182">
        <f t="shared" si="56"/>
        <v>8</v>
      </c>
      <c r="C274" s="182">
        <f t="shared" si="56"/>
        <v>8</v>
      </c>
      <c r="D274" s="182" t="str">
        <f t="shared" si="55"/>
        <v>Petite Gâterie 8</v>
      </c>
      <c r="E274" s="268">
        <f t="shared" si="57"/>
        <v>1.53</v>
      </c>
      <c r="F274" s="276">
        <f t="shared" si="57"/>
        <v>4.9000000000000004</v>
      </c>
      <c r="G274" s="266">
        <f t="shared" si="58"/>
        <v>0.31224489795918364</v>
      </c>
      <c r="H274" s="265">
        <f t="shared" si="59"/>
        <v>3.37</v>
      </c>
      <c r="I274" s="264"/>
      <c r="J274" s="610"/>
      <c r="K274" s="263"/>
      <c r="L274" s="231"/>
      <c r="M274" s="230"/>
      <c r="N274" s="217"/>
    </row>
    <row r="275" spans="1:14" ht="18" x14ac:dyDescent="0.3">
      <c r="A275" s="624"/>
      <c r="B275" s="182">
        <f t="shared" si="56"/>
        <v>9</v>
      </c>
      <c r="C275" s="182">
        <f t="shared" si="56"/>
        <v>9</v>
      </c>
      <c r="D275" s="182" t="str">
        <f t="shared" si="55"/>
        <v>Petite Gâterie 9</v>
      </c>
      <c r="E275" s="268">
        <f t="shared" si="57"/>
        <v>1.55</v>
      </c>
      <c r="F275" s="276">
        <f t="shared" si="57"/>
        <v>5</v>
      </c>
      <c r="G275" s="266">
        <f t="shared" si="58"/>
        <v>0.31</v>
      </c>
      <c r="H275" s="265">
        <f t="shared" si="59"/>
        <v>3.45</v>
      </c>
      <c r="I275" s="264"/>
      <c r="J275" s="610"/>
      <c r="K275" s="263"/>
      <c r="L275" s="231"/>
      <c r="M275" s="230"/>
      <c r="N275" s="217"/>
    </row>
    <row r="276" spans="1:14" ht="19" thickBot="1" x14ac:dyDescent="0.35">
      <c r="A276" s="624"/>
      <c r="B276" s="275">
        <f t="shared" si="56"/>
        <v>10</v>
      </c>
      <c r="C276" s="275">
        <f t="shared" si="56"/>
        <v>10</v>
      </c>
      <c r="D276" s="275" t="str">
        <f t="shared" si="55"/>
        <v>Petite Gâterie 10</v>
      </c>
      <c r="E276" s="274">
        <f t="shared" si="57"/>
        <v>1.59</v>
      </c>
      <c r="F276" s="278">
        <f t="shared" si="57"/>
        <v>5.2</v>
      </c>
      <c r="G276" s="272">
        <f t="shared" si="58"/>
        <v>0.30576923076923079</v>
      </c>
      <c r="H276" s="271">
        <f t="shared" si="59"/>
        <v>3.6100000000000003</v>
      </c>
      <c r="I276" s="270">
        <f>+I269+1.066667</f>
        <v>5.4333339999999994</v>
      </c>
      <c r="J276" s="619"/>
      <c r="K276" s="263"/>
      <c r="L276" s="231"/>
      <c r="M276" s="230"/>
      <c r="N276" s="217"/>
    </row>
    <row r="277" spans="1:14" ht="18" x14ac:dyDescent="0.3">
      <c r="A277" s="624"/>
      <c r="B277" s="182">
        <f t="shared" si="56"/>
        <v>11</v>
      </c>
      <c r="C277" s="182">
        <f t="shared" si="56"/>
        <v>11</v>
      </c>
      <c r="D277" s="182" t="str">
        <f t="shared" si="55"/>
        <v>Petite Gâterie 11</v>
      </c>
      <c r="E277" s="268">
        <f t="shared" si="57"/>
        <v>1.83</v>
      </c>
      <c r="F277" s="276">
        <f t="shared" si="57"/>
        <v>6.4</v>
      </c>
      <c r="G277" s="266">
        <f t="shared" si="58"/>
        <v>0.28593750000000001</v>
      </c>
      <c r="H277" s="265">
        <f t="shared" si="59"/>
        <v>4.57</v>
      </c>
      <c r="I277" s="264">
        <f>+I276+0.01</f>
        <v>5.4433339999999992</v>
      </c>
      <c r="J277" s="609">
        <f>2/12</f>
        <v>0.16666666666666666</v>
      </c>
      <c r="K277" s="269"/>
      <c r="L277" s="231"/>
      <c r="M277" s="230"/>
      <c r="N277" s="217"/>
    </row>
    <row r="278" spans="1:14" ht="18" x14ac:dyDescent="0.3">
      <c r="A278" s="624"/>
      <c r="B278" s="182">
        <f t="shared" si="56"/>
        <v>12</v>
      </c>
      <c r="C278" s="182">
        <f t="shared" si="56"/>
        <v>12</v>
      </c>
      <c r="D278" s="182" t="str">
        <f t="shared" si="55"/>
        <v>Petite Gâterie 12</v>
      </c>
      <c r="E278" s="268">
        <f t="shared" si="57"/>
        <v>1.87</v>
      </c>
      <c r="F278" s="276">
        <f t="shared" si="57"/>
        <v>6.6</v>
      </c>
      <c r="G278" s="266">
        <f t="shared" si="58"/>
        <v>0.28333333333333338</v>
      </c>
      <c r="H278" s="265">
        <f t="shared" si="59"/>
        <v>4.7299999999999995</v>
      </c>
      <c r="I278" s="264">
        <f>F278</f>
        <v>6.6</v>
      </c>
      <c r="J278" s="610"/>
      <c r="K278" s="263"/>
      <c r="L278" s="231"/>
      <c r="M278" s="230"/>
      <c r="N278" s="217"/>
    </row>
    <row r="279" spans="1:14" ht="19" x14ac:dyDescent="0.35">
      <c r="A279" s="624"/>
      <c r="B279" s="182"/>
      <c r="C279" s="182"/>
      <c r="D279" s="241" t="str">
        <f t="shared" si="55"/>
        <v>CmO—PmO—Food Cost—BmO</v>
      </c>
      <c r="E279" s="262">
        <f>SUM(E267:E278)/C278</f>
        <v>1.4816666666666667</v>
      </c>
      <c r="F279" s="262">
        <f>SUM(F267:F278)/C278</f>
        <v>4.8166666666666673</v>
      </c>
      <c r="G279" s="277">
        <f t="shared" si="58"/>
        <v>0.30761245674740478</v>
      </c>
      <c r="H279" s="260">
        <f t="shared" si="59"/>
        <v>3.3350000000000009</v>
      </c>
      <c r="I279" s="259"/>
      <c r="J279" s="182"/>
      <c r="K279" s="182"/>
      <c r="L279" s="291">
        <v>1</v>
      </c>
      <c r="M279" s="230" t="s">
        <v>1</v>
      </c>
      <c r="N279" s="217"/>
    </row>
    <row r="280" spans="1:14" ht="18" x14ac:dyDescent="0.3">
      <c r="A280" s="624"/>
      <c r="B280" s="182" t="s">
        <v>1</v>
      </c>
      <c r="C280" s="182"/>
      <c r="D280" s="182"/>
      <c r="E280" s="245"/>
      <c r="F280" s="245"/>
      <c r="G280" s="266"/>
      <c r="H280" s="243"/>
      <c r="I280" s="264"/>
      <c r="J280" s="182"/>
      <c r="K280" s="182"/>
      <c r="L280" s="231"/>
      <c r="M280" s="230"/>
      <c r="N280" s="217"/>
    </row>
    <row r="281" spans="1:14" ht="18" x14ac:dyDescent="0.3">
      <c r="A281" s="624"/>
      <c r="B281" s="182"/>
      <c r="C281" s="182"/>
      <c r="D281" s="241" t="str">
        <f t="shared" ref="D281:D294" si="60">D238</f>
        <v>Les Boissons  Gâteries</v>
      </c>
      <c r="E281" s="245"/>
      <c r="F281" s="245"/>
      <c r="G281" s="266"/>
      <c r="H281" s="243"/>
      <c r="I281" s="264"/>
      <c r="J281" s="182"/>
      <c r="K281" s="182"/>
      <c r="L281" s="231"/>
      <c r="M281" s="230"/>
      <c r="N281" s="217"/>
    </row>
    <row r="282" spans="1:14" ht="18" x14ac:dyDescent="0.3">
      <c r="A282" s="624"/>
      <c r="B282" s="182">
        <f t="shared" ref="B282:C293" si="61">B239</f>
        <v>13</v>
      </c>
      <c r="C282" s="182">
        <f t="shared" si="61"/>
        <v>1</v>
      </c>
      <c r="D282" s="182" t="str">
        <f t="shared" si="60"/>
        <v>Boisson spécial numéro 1</v>
      </c>
      <c r="E282" s="268">
        <f t="shared" ref="E282:F293" si="62">E239</f>
        <v>2.2799999999999998</v>
      </c>
      <c r="F282" s="276">
        <f t="shared" si="62"/>
        <v>6.6</v>
      </c>
      <c r="G282" s="266">
        <f t="shared" ref="G282:G294" si="63">E282/F282</f>
        <v>0.34545454545454546</v>
      </c>
      <c r="H282" s="265">
        <f t="shared" ref="H282:H294" si="64">F282-E282</f>
        <v>4.32</v>
      </c>
      <c r="I282" s="264">
        <f>F282</f>
        <v>6.6</v>
      </c>
      <c r="J282" s="618">
        <f>3/12</f>
        <v>0.25</v>
      </c>
      <c r="K282" s="269"/>
      <c r="L282" s="231"/>
      <c r="M282" s="230"/>
      <c r="N282" s="217"/>
    </row>
    <row r="283" spans="1:14" ht="18" x14ac:dyDescent="0.3">
      <c r="A283" s="624"/>
      <c r="B283" s="182">
        <f t="shared" si="61"/>
        <v>14</v>
      </c>
      <c r="C283" s="182">
        <f t="shared" si="61"/>
        <v>2</v>
      </c>
      <c r="D283" s="182" t="str">
        <f t="shared" si="60"/>
        <v>Boisson spécial numéro 2</v>
      </c>
      <c r="E283" s="268">
        <f t="shared" si="62"/>
        <v>2.66</v>
      </c>
      <c r="F283" s="267">
        <f t="shared" si="62"/>
        <v>7.6</v>
      </c>
      <c r="G283" s="266">
        <f t="shared" si="63"/>
        <v>0.35000000000000003</v>
      </c>
      <c r="H283" s="265">
        <f t="shared" si="64"/>
        <v>4.9399999999999995</v>
      </c>
      <c r="I283" s="264"/>
      <c r="J283" s="610"/>
      <c r="K283" s="263"/>
      <c r="L283" s="231"/>
      <c r="M283" s="230"/>
      <c r="N283" s="217"/>
    </row>
    <row r="284" spans="1:14" ht="19" thickBot="1" x14ac:dyDescent="0.35">
      <c r="A284" s="624"/>
      <c r="B284" s="275">
        <f t="shared" si="61"/>
        <v>15</v>
      </c>
      <c r="C284" s="275">
        <f t="shared" si="61"/>
        <v>3</v>
      </c>
      <c r="D284" s="275" t="str">
        <f t="shared" si="60"/>
        <v>Boisson spécial numéro 3</v>
      </c>
      <c r="E284" s="274">
        <f t="shared" si="62"/>
        <v>2.74</v>
      </c>
      <c r="F284" s="273">
        <f t="shared" si="62"/>
        <v>8</v>
      </c>
      <c r="G284" s="272">
        <f t="shared" si="63"/>
        <v>0.34250000000000003</v>
      </c>
      <c r="H284" s="271">
        <f t="shared" si="64"/>
        <v>5.26</v>
      </c>
      <c r="I284" s="270">
        <f>+I282+2.133333</f>
        <v>8.733333</v>
      </c>
      <c r="J284" s="619"/>
      <c r="K284" s="263"/>
      <c r="L284" s="231"/>
      <c r="M284" s="230"/>
      <c r="N284" s="217"/>
    </row>
    <row r="285" spans="1:14" ht="18" x14ac:dyDescent="0.3">
      <c r="A285" s="624"/>
      <c r="B285" s="182">
        <f t="shared" si="61"/>
        <v>16</v>
      </c>
      <c r="C285" s="182">
        <f t="shared" si="61"/>
        <v>4</v>
      </c>
      <c r="D285" s="182" t="str">
        <f t="shared" si="60"/>
        <v>Boisson spécial numéro 4</v>
      </c>
      <c r="E285" s="268">
        <f t="shared" si="62"/>
        <v>2.72</v>
      </c>
      <c r="F285" s="267">
        <f t="shared" si="62"/>
        <v>9</v>
      </c>
      <c r="G285" s="266">
        <f t="shared" si="63"/>
        <v>0.30222222222222223</v>
      </c>
      <c r="H285" s="265">
        <f t="shared" si="64"/>
        <v>6.2799999999999994</v>
      </c>
      <c r="I285" s="264">
        <f>+I284+0.01</f>
        <v>8.7433329999999998</v>
      </c>
      <c r="J285" s="609">
        <f>7/12</f>
        <v>0.58333333333333337</v>
      </c>
      <c r="K285" s="269"/>
      <c r="L285" s="231"/>
      <c r="M285" s="230"/>
      <c r="N285" s="217"/>
    </row>
    <row r="286" spans="1:14" ht="18" x14ac:dyDescent="0.3">
      <c r="A286" s="624"/>
      <c r="B286" s="182">
        <f t="shared" si="61"/>
        <v>17</v>
      </c>
      <c r="C286" s="182">
        <f t="shared" si="61"/>
        <v>5</v>
      </c>
      <c r="D286" s="182" t="str">
        <f t="shared" si="60"/>
        <v>Boisson spécial numéro 5</v>
      </c>
      <c r="E286" s="268">
        <f t="shared" si="62"/>
        <v>2.76</v>
      </c>
      <c r="F286" s="267">
        <f t="shared" si="62"/>
        <v>9.1999999999999993</v>
      </c>
      <c r="G286" s="266">
        <f t="shared" si="63"/>
        <v>0.3</v>
      </c>
      <c r="H286" s="265">
        <f t="shared" si="64"/>
        <v>6.4399999999999995</v>
      </c>
      <c r="I286" s="264"/>
      <c r="J286" s="610"/>
      <c r="K286" s="263"/>
      <c r="L286" s="231"/>
      <c r="M286" s="230"/>
      <c r="N286" s="217"/>
    </row>
    <row r="287" spans="1:14" ht="18" x14ac:dyDescent="0.3">
      <c r="A287" s="624"/>
      <c r="B287" s="182">
        <f t="shared" si="61"/>
        <v>18</v>
      </c>
      <c r="C287" s="182">
        <f t="shared" si="61"/>
        <v>6</v>
      </c>
      <c r="D287" s="182" t="str">
        <f t="shared" si="60"/>
        <v>Boisson spécial numéro 6</v>
      </c>
      <c r="E287" s="268">
        <f t="shared" si="62"/>
        <v>2.8</v>
      </c>
      <c r="F287" s="267">
        <f t="shared" si="62"/>
        <v>9.4</v>
      </c>
      <c r="G287" s="266">
        <f t="shared" si="63"/>
        <v>0.2978723404255319</v>
      </c>
      <c r="H287" s="265">
        <f t="shared" si="64"/>
        <v>6.6000000000000005</v>
      </c>
      <c r="I287" s="264"/>
      <c r="J287" s="610"/>
      <c r="K287" s="263"/>
      <c r="L287" s="231"/>
      <c r="M287" s="230"/>
      <c r="N287" s="217"/>
    </row>
    <row r="288" spans="1:14" ht="18" x14ac:dyDescent="0.3">
      <c r="A288" s="624"/>
      <c r="B288" s="182">
        <f t="shared" si="61"/>
        <v>19</v>
      </c>
      <c r="C288" s="182">
        <f t="shared" si="61"/>
        <v>7</v>
      </c>
      <c r="D288" s="182" t="str">
        <f t="shared" si="60"/>
        <v>Boisson spécial numéro 7</v>
      </c>
      <c r="E288" s="268">
        <f t="shared" si="62"/>
        <v>2.82</v>
      </c>
      <c r="F288" s="267">
        <f t="shared" si="62"/>
        <v>9.6</v>
      </c>
      <c r="G288" s="266">
        <f t="shared" si="63"/>
        <v>0.29375000000000001</v>
      </c>
      <c r="H288" s="265">
        <f t="shared" si="64"/>
        <v>6.7799999999999994</v>
      </c>
      <c r="I288" s="264"/>
      <c r="J288" s="610"/>
      <c r="K288" s="263"/>
      <c r="L288" s="231"/>
      <c r="M288" s="230"/>
      <c r="N288" s="217"/>
    </row>
    <row r="289" spans="1:14" ht="18" x14ac:dyDescent="0.3">
      <c r="A289" s="624"/>
      <c r="B289" s="182">
        <f t="shared" si="61"/>
        <v>20</v>
      </c>
      <c r="C289" s="182">
        <f t="shared" si="61"/>
        <v>8</v>
      </c>
      <c r="D289" s="182" t="str">
        <f t="shared" si="60"/>
        <v>Boisson spécial numéro 8</v>
      </c>
      <c r="E289" s="268">
        <f t="shared" si="62"/>
        <v>2.86</v>
      </c>
      <c r="F289" s="267">
        <f t="shared" si="62"/>
        <v>9.8000000000000007</v>
      </c>
      <c r="G289" s="266">
        <f t="shared" si="63"/>
        <v>0.2918367346938775</v>
      </c>
      <c r="H289" s="265">
        <f t="shared" si="64"/>
        <v>6.9400000000000013</v>
      </c>
      <c r="I289" s="264"/>
      <c r="J289" s="610"/>
      <c r="K289" s="263"/>
      <c r="L289" s="231"/>
      <c r="M289" s="230"/>
      <c r="N289" s="217"/>
    </row>
    <row r="290" spans="1:14" ht="18" x14ac:dyDescent="0.3">
      <c r="A290" s="624"/>
      <c r="B290" s="182">
        <f t="shared" si="61"/>
        <v>21</v>
      </c>
      <c r="C290" s="182">
        <f t="shared" si="61"/>
        <v>9</v>
      </c>
      <c r="D290" s="182" t="str">
        <f t="shared" si="60"/>
        <v>Boisson spécial numéro 9</v>
      </c>
      <c r="E290" s="268">
        <f t="shared" si="62"/>
        <v>2.9</v>
      </c>
      <c r="F290" s="267">
        <f t="shared" si="62"/>
        <v>10</v>
      </c>
      <c r="G290" s="266">
        <f t="shared" si="63"/>
        <v>0.28999999999999998</v>
      </c>
      <c r="H290" s="265">
        <f t="shared" si="64"/>
        <v>7.1</v>
      </c>
      <c r="I290" s="264"/>
      <c r="J290" s="610"/>
      <c r="K290" s="263"/>
      <c r="L290" s="231"/>
      <c r="M290" s="230"/>
      <c r="N290" s="217"/>
    </row>
    <row r="291" spans="1:14" ht="19" thickBot="1" x14ac:dyDescent="0.35">
      <c r="A291" s="624"/>
      <c r="B291" s="275">
        <f t="shared" si="61"/>
        <v>22</v>
      </c>
      <c r="C291" s="275">
        <f t="shared" si="61"/>
        <v>10</v>
      </c>
      <c r="D291" s="275" t="str">
        <f t="shared" si="60"/>
        <v>Boisson spécial numéro 10</v>
      </c>
      <c r="E291" s="274">
        <f t="shared" si="62"/>
        <v>2.98</v>
      </c>
      <c r="F291" s="273">
        <f t="shared" si="62"/>
        <v>10.4</v>
      </c>
      <c r="G291" s="272">
        <f t="shared" si="63"/>
        <v>0.28653846153846152</v>
      </c>
      <c r="H291" s="271">
        <f t="shared" si="64"/>
        <v>7.42</v>
      </c>
      <c r="I291" s="270">
        <f>+I284+2.133333</f>
        <v>10.866666</v>
      </c>
      <c r="J291" s="619"/>
      <c r="K291" s="263"/>
      <c r="L291" s="231"/>
      <c r="M291" s="230"/>
      <c r="N291" s="217"/>
    </row>
    <row r="292" spans="1:14" ht="18" x14ac:dyDescent="0.3">
      <c r="A292" s="624"/>
      <c r="B292" s="182">
        <f t="shared" si="61"/>
        <v>23</v>
      </c>
      <c r="C292" s="182">
        <f t="shared" si="61"/>
        <v>11</v>
      </c>
      <c r="D292" s="182" t="str">
        <f t="shared" si="60"/>
        <v>Boisson spécial numéro 11</v>
      </c>
      <c r="E292" s="268">
        <f t="shared" si="62"/>
        <v>3.18</v>
      </c>
      <c r="F292" s="267">
        <f t="shared" si="62"/>
        <v>11.6</v>
      </c>
      <c r="G292" s="266">
        <f t="shared" si="63"/>
        <v>0.27413793103448281</v>
      </c>
      <c r="H292" s="265">
        <f t="shared" si="64"/>
        <v>8.42</v>
      </c>
      <c r="I292" s="264">
        <f>+I291+0.01</f>
        <v>10.876666</v>
      </c>
      <c r="J292" s="609">
        <f>2/12</f>
        <v>0.16666666666666666</v>
      </c>
      <c r="K292" s="269"/>
      <c r="L292" s="231"/>
      <c r="M292" s="230"/>
      <c r="N292" s="217"/>
    </row>
    <row r="293" spans="1:14" ht="18" x14ac:dyDescent="0.3">
      <c r="A293" s="624"/>
      <c r="B293" s="182">
        <f t="shared" si="61"/>
        <v>24</v>
      </c>
      <c r="C293" s="182">
        <f t="shared" si="61"/>
        <v>12</v>
      </c>
      <c r="D293" s="182" t="str">
        <f t="shared" si="60"/>
        <v>Boisson spécial numéro 12</v>
      </c>
      <c r="E293" s="268">
        <f t="shared" si="62"/>
        <v>3.48</v>
      </c>
      <c r="F293" s="267">
        <f t="shared" si="62"/>
        <v>13.2</v>
      </c>
      <c r="G293" s="266">
        <f t="shared" si="63"/>
        <v>0.26363636363636367</v>
      </c>
      <c r="H293" s="265">
        <f t="shared" si="64"/>
        <v>9.7199999999999989</v>
      </c>
      <c r="I293" s="264">
        <f>F293</f>
        <v>13.2</v>
      </c>
      <c r="J293" s="610"/>
      <c r="K293" s="263"/>
      <c r="L293" s="231"/>
      <c r="M293" s="230"/>
      <c r="N293" s="217"/>
    </row>
    <row r="294" spans="1:14" ht="19" x14ac:dyDescent="0.35">
      <c r="A294" s="624"/>
      <c r="B294" s="182"/>
      <c r="C294" s="182"/>
      <c r="D294" s="241" t="str">
        <f t="shared" si="60"/>
        <v>CmO—PmO—Beverage Cost—Marge brute</v>
      </c>
      <c r="E294" s="262">
        <f>SUM(E282:E293)/C293</f>
        <v>2.8483333333333332</v>
      </c>
      <c r="F294" s="262">
        <f>SUM(F282:F293)/C293</f>
        <v>9.5333333333333332</v>
      </c>
      <c r="G294" s="261">
        <f t="shared" si="63"/>
        <v>0.29877622377622376</v>
      </c>
      <c r="H294" s="260">
        <f t="shared" si="64"/>
        <v>6.6850000000000005</v>
      </c>
      <c r="I294" s="259"/>
      <c r="J294" s="182"/>
      <c r="K294" s="182"/>
      <c r="L294" s="291">
        <v>1</v>
      </c>
      <c r="M294" s="230" t="s">
        <v>1</v>
      </c>
      <c r="N294" s="217"/>
    </row>
    <row r="295" spans="1:14" ht="19" thickBot="1" x14ac:dyDescent="0.35">
      <c r="A295" s="624"/>
      <c r="B295" s="182"/>
      <c r="C295" s="182"/>
      <c r="D295" s="182"/>
      <c r="E295" s="245"/>
      <c r="F295" s="245"/>
      <c r="G295" s="244"/>
      <c r="H295" s="243"/>
      <c r="I295" s="182"/>
      <c r="J295" s="182"/>
      <c r="K295" s="182"/>
      <c r="L295" s="231"/>
      <c r="M295" s="230"/>
      <c r="N295" s="217"/>
    </row>
    <row r="296" spans="1:14" ht="21" thickTop="1" thickBot="1" x14ac:dyDescent="0.4">
      <c r="A296" s="624"/>
      <c r="B296" s="182"/>
      <c r="C296" s="256"/>
      <c r="D296" s="255"/>
      <c r="E296" s="254"/>
      <c r="F296" s="254"/>
      <c r="G296" s="253"/>
      <c r="H296" s="252"/>
      <c r="I296" s="251"/>
      <c r="J296" s="182"/>
      <c r="K296" s="182"/>
      <c r="L296" s="231"/>
      <c r="M296" s="230"/>
      <c r="N296" s="217"/>
    </row>
    <row r="297" spans="1:14" ht="20" thickTop="1" thickBot="1" x14ac:dyDescent="0.35">
      <c r="A297" s="624"/>
      <c r="B297" s="182"/>
      <c r="C297" s="236"/>
      <c r="D297" s="241"/>
      <c r="E297" s="250" t="str">
        <f>E254</f>
        <v>CmO</v>
      </c>
      <c r="F297" s="250" t="str">
        <f>F254</f>
        <v>PmO</v>
      </c>
      <c r="G297" s="249" t="str">
        <f>G254</f>
        <v>F&amp;BCmO</v>
      </c>
      <c r="H297" s="248" t="str">
        <f>H254</f>
        <v>BmO</v>
      </c>
      <c r="I297" s="247"/>
      <c r="J297" s="182"/>
      <c r="K297" s="182"/>
      <c r="L297" s="231"/>
      <c r="M297" s="230"/>
      <c r="N297" s="217"/>
    </row>
    <row r="298" spans="1:14" ht="19" thickTop="1" x14ac:dyDescent="0.3">
      <c r="A298" s="624"/>
      <c r="B298" s="182"/>
      <c r="C298" s="236"/>
      <c r="D298" s="246" t="str">
        <f>D255</f>
        <v>OFFRE TOTALE AVEC LES GÂTERIES ET LES CAFÉS GÂTERIES</v>
      </c>
      <c r="E298" s="245"/>
      <c r="F298" s="245"/>
      <c r="G298" s="244"/>
      <c r="H298" s="243"/>
      <c r="I298" s="242"/>
      <c r="J298" s="182"/>
      <c r="K298" s="182"/>
      <c r="L298" s="231"/>
      <c r="M298" s="230"/>
      <c r="N298" s="217"/>
    </row>
    <row r="299" spans="1:14" ht="19" x14ac:dyDescent="0.35">
      <c r="A299" s="624"/>
      <c r="B299" s="182"/>
      <c r="C299" s="236"/>
      <c r="D299" s="241" t="str">
        <f>D256</f>
        <v>CmO—PmO—F&amp;B cost moyen offert—Marge brute</v>
      </c>
      <c r="E299" s="240">
        <f>+(E267+E268+E269+E270+E271+E272+E273+E274+E275+E276+E277+E278+E282+E283+E284+E285+E286+E287+E288+E289+E290+E291+E292+E293)/B293</f>
        <v>2.1649999999999996</v>
      </c>
      <c r="F299" s="240">
        <f>+(F267+F268+F269+F270+F271+F272+F273+F274+F275+F276+F277+F278+F282+F283+F284+F285+F286+F287+F288+F289+F290+F291+F292+F293)/B293</f>
        <v>7.1749999999999998</v>
      </c>
      <c r="G299" s="239">
        <f>E299/F299</f>
        <v>0.30174216027874562</v>
      </c>
      <c r="H299" s="238">
        <f>F299-E299</f>
        <v>5.01</v>
      </c>
      <c r="I299" s="237"/>
      <c r="J299" s="182"/>
      <c r="K299" s="182"/>
      <c r="L299" s="231">
        <f>L256</f>
        <v>2</v>
      </c>
      <c r="M299" s="230">
        <f>'% Occupation'!J19</f>
        <v>196</v>
      </c>
      <c r="N299" s="217"/>
    </row>
    <row r="300" spans="1:14" ht="18" x14ac:dyDescent="0.3">
      <c r="A300" s="624"/>
      <c r="B300" s="182"/>
      <c r="C300" s="236"/>
      <c r="D300" s="182"/>
      <c r="E300" s="235"/>
      <c r="F300" s="235"/>
      <c r="G300" s="234"/>
      <c r="H300" s="233"/>
      <c r="I300" s="232"/>
      <c r="J300" s="182"/>
      <c r="K300" s="182"/>
      <c r="L300" s="231"/>
      <c r="M300" s="230"/>
      <c r="N300" s="217"/>
    </row>
    <row r="301" spans="1:14" ht="19" thickBot="1" x14ac:dyDescent="0.35">
      <c r="A301" s="624"/>
      <c r="B301" s="182"/>
      <c r="C301" s="229"/>
      <c r="D301" s="228"/>
      <c r="E301" s="227"/>
      <c r="F301" s="227"/>
      <c r="G301" s="226"/>
      <c r="H301" s="225"/>
      <c r="I301" s="224"/>
      <c r="J301" s="182"/>
      <c r="K301" s="182"/>
      <c r="L301" s="223"/>
      <c r="M301" s="222"/>
      <c r="N301" s="217"/>
    </row>
    <row r="302" spans="1:14" ht="19" thickTop="1" x14ac:dyDescent="0.3">
      <c r="A302" s="624"/>
      <c r="L302" s="220"/>
      <c r="M302" s="292"/>
      <c r="N302" s="217"/>
    </row>
    <row r="303" spans="1:14" ht="23" x14ac:dyDescent="0.3">
      <c r="A303" s="624"/>
      <c r="D303" s="287" t="s">
        <v>91</v>
      </c>
      <c r="F303" s="283"/>
      <c r="L303" s="220"/>
      <c r="M303" s="292"/>
      <c r="N303" s="217"/>
    </row>
    <row r="304" spans="1:14" ht="24" thickBot="1" x14ac:dyDescent="0.35">
      <c r="A304" s="624"/>
      <c r="D304" s="285"/>
      <c r="L304" s="220"/>
      <c r="M304" s="292"/>
      <c r="N304" s="217"/>
    </row>
    <row r="305" spans="1:14" ht="23" customHeight="1" thickTop="1" x14ac:dyDescent="0.25">
      <c r="A305" s="624"/>
      <c r="D305" s="285"/>
      <c r="E305" s="604" t="str">
        <f>E262</f>
        <v>Coûts des ressources alimentaires pour chaque produit offert (voir recettes standardisées)</v>
      </c>
      <c r="F305" s="604" t="str">
        <f>F262</f>
        <v>Prix de vente par produit offert</v>
      </c>
      <c r="G305" s="604" t="str">
        <f>G262</f>
        <v xml:space="preserve">« Food &amp; Beverage Cost » </v>
      </c>
      <c r="H305" s="604" t="str">
        <f>H262</f>
        <v>Marge brute gagnée sur la vente de chaque produit offert</v>
      </c>
      <c r="I305" s="286"/>
      <c r="L305" s="613" t="s">
        <v>84</v>
      </c>
      <c r="M305" s="620" t="s">
        <v>83</v>
      </c>
      <c r="N305" s="217"/>
    </row>
    <row r="306" spans="1:14" ht="22" x14ac:dyDescent="0.25">
      <c r="A306" s="624"/>
      <c r="D306" s="285"/>
      <c r="E306" s="605"/>
      <c r="F306" s="607"/>
      <c r="G306" s="607"/>
      <c r="H306" s="607"/>
      <c r="I306" s="284"/>
      <c r="L306" s="614"/>
      <c r="M306" s="621"/>
      <c r="N306" s="217"/>
    </row>
    <row r="307" spans="1:14" ht="14" customHeight="1" thickBot="1" x14ac:dyDescent="0.25">
      <c r="A307" s="624"/>
      <c r="E307" s="606"/>
      <c r="F307" s="608"/>
      <c r="G307" s="608"/>
      <c r="H307" s="608"/>
      <c r="I307" s="284"/>
      <c r="L307" s="615"/>
      <c r="M307" s="622"/>
      <c r="N307" s="217"/>
    </row>
    <row r="308" spans="1:14" ht="20" thickTop="1" thickBot="1" x14ac:dyDescent="0.35">
      <c r="A308" s="624"/>
      <c r="B308" s="149" t="s">
        <v>1</v>
      </c>
      <c r="E308" s="283"/>
      <c r="F308" s="283"/>
      <c r="G308" s="282"/>
      <c r="L308" s="220"/>
      <c r="M308" s="292"/>
      <c r="N308" s="217"/>
    </row>
    <row r="309" spans="1:14" ht="19" thickTop="1" x14ac:dyDescent="0.3">
      <c r="A309" s="624"/>
      <c r="B309" s="182"/>
      <c r="C309" s="182"/>
      <c r="D309" s="241" t="str">
        <f t="shared" ref="D309:D322" si="65">D266</f>
        <v>Les Petite Gâteries</v>
      </c>
      <c r="E309" s="264"/>
      <c r="F309" s="264"/>
      <c r="G309" s="244"/>
      <c r="H309" s="182"/>
      <c r="I309" s="182"/>
      <c r="J309" s="182"/>
      <c r="K309" s="182"/>
      <c r="L309" s="281"/>
      <c r="M309" s="280"/>
      <c r="N309" s="217"/>
    </row>
    <row r="310" spans="1:14" ht="18" x14ac:dyDescent="0.3">
      <c r="A310" s="624"/>
      <c r="B310" s="182">
        <f t="shared" ref="B310:C321" si="66">B267</f>
        <v>1</v>
      </c>
      <c r="C310" s="182">
        <f t="shared" si="66"/>
        <v>1</v>
      </c>
      <c r="D310" s="182" t="str">
        <f t="shared" si="65"/>
        <v>Petite Gâterie 1</v>
      </c>
      <c r="E310" s="268">
        <f t="shared" ref="E310:F321" si="67">E267</f>
        <v>1.21</v>
      </c>
      <c r="F310" s="267">
        <f t="shared" si="67"/>
        <v>3.3</v>
      </c>
      <c r="G310" s="266">
        <f t="shared" ref="G310:G322" si="68">E310/F310</f>
        <v>0.3666666666666667</v>
      </c>
      <c r="H310" s="265">
        <f t="shared" ref="H310:H322" si="69">F310-E310</f>
        <v>2.09</v>
      </c>
      <c r="I310" s="264"/>
      <c r="J310" s="182"/>
      <c r="K310" s="182"/>
      <c r="L310" s="279"/>
      <c r="M310" s="230"/>
      <c r="N310" s="217"/>
    </row>
    <row r="311" spans="1:14" ht="18" x14ac:dyDescent="0.3">
      <c r="A311" s="624"/>
      <c r="B311" s="182">
        <f t="shared" si="66"/>
        <v>2</v>
      </c>
      <c r="C311" s="182">
        <f t="shared" si="66"/>
        <v>2</v>
      </c>
      <c r="D311" s="182" t="str">
        <f t="shared" si="65"/>
        <v>Petite Gâterie 2</v>
      </c>
      <c r="E311" s="268">
        <f t="shared" si="67"/>
        <v>1.31</v>
      </c>
      <c r="F311" s="267">
        <f t="shared" si="67"/>
        <v>3.8</v>
      </c>
      <c r="G311" s="266">
        <f t="shared" si="68"/>
        <v>0.34473684210526317</v>
      </c>
      <c r="H311" s="265">
        <f t="shared" si="69"/>
        <v>2.4899999999999998</v>
      </c>
      <c r="I311" s="264"/>
      <c r="J311" s="182"/>
      <c r="K311" s="182"/>
      <c r="L311" s="231"/>
      <c r="M311" s="230"/>
      <c r="N311" s="217"/>
    </row>
    <row r="312" spans="1:14" ht="18" x14ac:dyDescent="0.3">
      <c r="A312" s="624"/>
      <c r="B312" s="182">
        <f t="shared" si="66"/>
        <v>3</v>
      </c>
      <c r="C312" s="182">
        <f t="shared" si="66"/>
        <v>3</v>
      </c>
      <c r="D312" s="182" t="str">
        <f t="shared" si="65"/>
        <v>Petite Gâterie 3</v>
      </c>
      <c r="E312" s="268">
        <f t="shared" si="67"/>
        <v>1.35</v>
      </c>
      <c r="F312" s="267">
        <f t="shared" si="67"/>
        <v>4</v>
      </c>
      <c r="G312" s="266">
        <f t="shared" si="68"/>
        <v>0.33750000000000002</v>
      </c>
      <c r="H312" s="265">
        <f t="shared" si="69"/>
        <v>2.65</v>
      </c>
      <c r="I312" s="264"/>
      <c r="J312" s="182"/>
      <c r="K312" s="182"/>
      <c r="L312" s="231"/>
      <c r="M312" s="230"/>
      <c r="N312" s="217"/>
    </row>
    <row r="313" spans="1:14" ht="18" x14ac:dyDescent="0.3">
      <c r="A313" s="624"/>
      <c r="B313" s="182">
        <f t="shared" si="66"/>
        <v>4</v>
      </c>
      <c r="C313" s="182">
        <f t="shared" si="66"/>
        <v>4</v>
      </c>
      <c r="D313" s="182" t="str">
        <f t="shared" si="65"/>
        <v>Petite Gâterie 4</v>
      </c>
      <c r="E313" s="268">
        <f t="shared" si="67"/>
        <v>1.4</v>
      </c>
      <c r="F313" s="267">
        <f t="shared" si="67"/>
        <v>4.5</v>
      </c>
      <c r="G313" s="266">
        <f t="shared" si="68"/>
        <v>0.31111111111111112</v>
      </c>
      <c r="H313" s="265">
        <f t="shared" si="69"/>
        <v>3.1</v>
      </c>
      <c r="I313" s="264"/>
      <c r="J313" s="182"/>
      <c r="K313" s="182"/>
      <c r="L313" s="231"/>
      <c r="M313" s="230"/>
      <c r="N313" s="217"/>
    </row>
    <row r="314" spans="1:14" ht="18" x14ac:dyDescent="0.3">
      <c r="A314" s="624"/>
      <c r="B314" s="182">
        <f t="shared" si="66"/>
        <v>5</v>
      </c>
      <c r="C314" s="182">
        <f t="shared" si="66"/>
        <v>5</v>
      </c>
      <c r="D314" s="182" t="str">
        <f t="shared" si="65"/>
        <v>Petite Gâterie 5</v>
      </c>
      <c r="E314" s="268">
        <f t="shared" si="67"/>
        <v>1.24</v>
      </c>
      <c r="F314" s="267">
        <f t="shared" si="67"/>
        <v>4.5999999999999996</v>
      </c>
      <c r="G314" s="266">
        <f t="shared" si="68"/>
        <v>0.26956521739130435</v>
      </c>
      <c r="H314" s="265">
        <f t="shared" si="69"/>
        <v>3.3599999999999994</v>
      </c>
      <c r="I314" s="264"/>
      <c r="J314" s="182"/>
      <c r="K314" s="182"/>
      <c r="L314" s="231"/>
      <c r="M314" s="230"/>
      <c r="N314" s="217"/>
    </row>
    <row r="315" spans="1:14" ht="18" x14ac:dyDescent="0.3">
      <c r="A315" s="624"/>
      <c r="B315" s="182">
        <f t="shared" si="66"/>
        <v>6</v>
      </c>
      <c r="C315" s="182">
        <f t="shared" si="66"/>
        <v>6</v>
      </c>
      <c r="D315" s="182" t="str">
        <f t="shared" si="65"/>
        <v>Petite Gâterie 6</v>
      </c>
      <c r="E315" s="268">
        <f t="shared" si="67"/>
        <v>1.39</v>
      </c>
      <c r="F315" s="267">
        <f t="shared" si="67"/>
        <v>4.7</v>
      </c>
      <c r="G315" s="266">
        <f t="shared" si="68"/>
        <v>0.29574468085106381</v>
      </c>
      <c r="H315" s="265">
        <f t="shared" si="69"/>
        <v>3.3100000000000005</v>
      </c>
      <c r="I315" s="264"/>
      <c r="J315" s="182"/>
      <c r="K315" s="182"/>
      <c r="L315" s="231"/>
      <c r="M315" s="230"/>
      <c r="N315" s="217"/>
    </row>
    <row r="316" spans="1:14" ht="18" x14ac:dyDescent="0.3">
      <c r="A316" s="624"/>
      <c r="B316" s="182">
        <f t="shared" si="66"/>
        <v>7</v>
      </c>
      <c r="C316" s="182">
        <f t="shared" si="66"/>
        <v>7</v>
      </c>
      <c r="D316" s="182" t="str">
        <f t="shared" si="65"/>
        <v>Petite Gâterie 7</v>
      </c>
      <c r="E316" s="268">
        <f t="shared" si="67"/>
        <v>1.51</v>
      </c>
      <c r="F316" s="267">
        <f t="shared" si="67"/>
        <v>4.8</v>
      </c>
      <c r="G316" s="266">
        <f t="shared" si="68"/>
        <v>0.31458333333333333</v>
      </c>
      <c r="H316" s="265">
        <f t="shared" si="69"/>
        <v>3.29</v>
      </c>
      <c r="I316" s="264"/>
      <c r="J316" s="182"/>
      <c r="K316" s="182"/>
      <c r="L316" s="231"/>
      <c r="M316" s="230"/>
      <c r="N316" s="217"/>
    </row>
    <row r="317" spans="1:14" ht="18" x14ac:dyDescent="0.3">
      <c r="A317" s="624"/>
      <c r="B317" s="182">
        <f t="shared" si="66"/>
        <v>8</v>
      </c>
      <c r="C317" s="182">
        <f t="shared" si="66"/>
        <v>8</v>
      </c>
      <c r="D317" s="182" t="str">
        <f t="shared" si="65"/>
        <v>Petite Gâterie 8</v>
      </c>
      <c r="E317" s="268">
        <f t="shared" si="67"/>
        <v>1.53</v>
      </c>
      <c r="F317" s="267">
        <f t="shared" si="67"/>
        <v>4.9000000000000004</v>
      </c>
      <c r="G317" s="266">
        <f t="shared" si="68"/>
        <v>0.31224489795918364</v>
      </c>
      <c r="H317" s="265">
        <f t="shared" si="69"/>
        <v>3.37</v>
      </c>
      <c r="I317" s="264"/>
      <c r="J317" s="182"/>
      <c r="K317" s="182"/>
      <c r="L317" s="231"/>
      <c r="M317" s="230"/>
      <c r="N317" s="217"/>
    </row>
    <row r="318" spans="1:14" ht="18" x14ac:dyDescent="0.3">
      <c r="A318" s="624"/>
      <c r="B318" s="182">
        <f t="shared" si="66"/>
        <v>9</v>
      </c>
      <c r="C318" s="182">
        <f t="shared" si="66"/>
        <v>9</v>
      </c>
      <c r="D318" s="182" t="str">
        <f t="shared" si="65"/>
        <v>Petite Gâterie 9</v>
      </c>
      <c r="E318" s="268">
        <f t="shared" si="67"/>
        <v>1.55</v>
      </c>
      <c r="F318" s="267">
        <f t="shared" si="67"/>
        <v>5</v>
      </c>
      <c r="G318" s="266">
        <f t="shared" si="68"/>
        <v>0.31</v>
      </c>
      <c r="H318" s="265">
        <f t="shared" si="69"/>
        <v>3.45</v>
      </c>
      <c r="I318" s="264"/>
      <c r="J318" s="182"/>
      <c r="K318" s="182"/>
      <c r="L318" s="231"/>
      <c r="M318" s="230"/>
      <c r="N318" s="217"/>
    </row>
    <row r="319" spans="1:14" ht="18" x14ac:dyDescent="0.3">
      <c r="A319" s="624"/>
      <c r="B319" s="182">
        <f t="shared" si="66"/>
        <v>10</v>
      </c>
      <c r="C319" s="182">
        <f t="shared" si="66"/>
        <v>10</v>
      </c>
      <c r="D319" s="182" t="str">
        <f t="shared" si="65"/>
        <v>Petite Gâterie 10</v>
      </c>
      <c r="E319" s="268">
        <f t="shared" si="67"/>
        <v>1.59</v>
      </c>
      <c r="F319" s="267">
        <f t="shared" si="67"/>
        <v>5.2</v>
      </c>
      <c r="G319" s="266">
        <f t="shared" si="68"/>
        <v>0.30576923076923079</v>
      </c>
      <c r="H319" s="265">
        <f t="shared" si="69"/>
        <v>3.6100000000000003</v>
      </c>
      <c r="I319" s="264"/>
      <c r="J319" s="182"/>
      <c r="K319" s="182"/>
      <c r="L319" s="231"/>
      <c r="M319" s="230"/>
      <c r="N319" s="217"/>
    </row>
    <row r="320" spans="1:14" ht="18" x14ac:dyDescent="0.3">
      <c r="A320" s="624"/>
      <c r="B320" s="182">
        <f t="shared" si="66"/>
        <v>11</v>
      </c>
      <c r="C320" s="182">
        <f t="shared" si="66"/>
        <v>11</v>
      </c>
      <c r="D320" s="182" t="str">
        <f t="shared" si="65"/>
        <v>Petite Gâterie 11</v>
      </c>
      <c r="E320" s="268">
        <f t="shared" si="67"/>
        <v>1.83</v>
      </c>
      <c r="F320" s="267">
        <f t="shared" si="67"/>
        <v>6.4</v>
      </c>
      <c r="G320" s="266">
        <f t="shared" si="68"/>
        <v>0.28593750000000001</v>
      </c>
      <c r="H320" s="265">
        <f t="shared" si="69"/>
        <v>4.57</v>
      </c>
      <c r="I320" s="264"/>
      <c r="J320" s="182"/>
      <c r="K320" s="182"/>
      <c r="L320" s="231"/>
      <c r="M320" s="230"/>
      <c r="N320" s="217"/>
    </row>
    <row r="321" spans="1:14" ht="18" x14ac:dyDescent="0.3">
      <c r="A321" s="624"/>
      <c r="B321" s="182">
        <f t="shared" si="66"/>
        <v>12</v>
      </c>
      <c r="C321" s="182">
        <f t="shared" si="66"/>
        <v>12</v>
      </c>
      <c r="D321" s="182" t="str">
        <f t="shared" si="65"/>
        <v>Petite Gâterie 12</v>
      </c>
      <c r="E321" s="268">
        <f t="shared" si="67"/>
        <v>1.87</v>
      </c>
      <c r="F321" s="267">
        <f t="shared" si="67"/>
        <v>6.6</v>
      </c>
      <c r="G321" s="266">
        <f t="shared" si="68"/>
        <v>0.28333333333333338</v>
      </c>
      <c r="H321" s="265">
        <f t="shared" si="69"/>
        <v>4.7299999999999995</v>
      </c>
      <c r="I321" s="264"/>
      <c r="J321" s="182"/>
      <c r="K321" s="182"/>
      <c r="L321" s="231"/>
      <c r="M321" s="230"/>
      <c r="N321" s="217"/>
    </row>
    <row r="322" spans="1:14" ht="19" x14ac:dyDescent="0.35">
      <c r="A322" s="624"/>
      <c r="B322" s="182"/>
      <c r="C322" s="182"/>
      <c r="D322" s="241" t="str">
        <f t="shared" si="65"/>
        <v>CmO—PmO—Food Cost—BmO</v>
      </c>
      <c r="E322" s="262">
        <f>SUM(E310:E321)/C321</f>
        <v>1.4816666666666667</v>
      </c>
      <c r="F322" s="262">
        <f>SUM(F310:F321)/C321</f>
        <v>4.8166666666666673</v>
      </c>
      <c r="G322" s="277">
        <f t="shared" si="68"/>
        <v>0.30761245674740478</v>
      </c>
      <c r="H322" s="260">
        <f t="shared" si="69"/>
        <v>3.3350000000000009</v>
      </c>
      <c r="I322" s="259"/>
      <c r="J322" s="182"/>
      <c r="K322" s="182"/>
      <c r="L322" s="291">
        <v>1</v>
      </c>
      <c r="M322" s="230" t="s">
        <v>1</v>
      </c>
      <c r="N322" s="217"/>
    </row>
    <row r="323" spans="1:14" ht="18" x14ac:dyDescent="0.3">
      <c r="A323" s="624"/>
      <c r="B323" s="182" t="s">
        <v>1</v>
      </c>
      <c r="C323" s="182"/>
      <c r="D323" s="182"/>
      <c r="E323" s="245"/>
      <c r="F323" s="245"/>
      <c r="G323" s="266"/>
      <c r="H323" s="243"/>
      <c r="I323" s="182"/>
      <c r="J323" s="182"/>
      <c r="K323" s="182"/>
      <c r="L323" s="231"/>
      <c r="M323" s="230"/>
      <c r="N323" s="217"/>
    </row>
    <row r="324" spans="1:14" ht="18" x14ac:dyDescent="0.3">
      <c r="A324" s="624"/>
      <c r="B324" s="182"/>
      <c r="C324" s="182"/>
      <c r="D324" s="241" t="str">
        <f t="shared" ref="D324:D337" si="70">D281</f>
        <v>Les Boissons  Gâteries</v>
      </c>
      <c r="E324" s="245"/>
      <c r="F324" s="245"/>
      <c r="G324" s="266"/>
      <c r="H324" s="243"/>
      <c r="I324" s="182"/>
      <c r="J324" s="182"/>
      <c r="K324" s="182"/>
      <c r="L324" s="231"/>
      <c r="M324" s="230"/>
      <c r="N324" s="217"/>
    </row>
    <row r="325" spans="1:14" ht="18" x14ac:dyDescent="0.3">
      <c r="A325" s="624"/>
      <c r="B325" s="182">
        <f t="shared" ref="B325:C336" si="71">B282</f>
        <v>13</v>
      </c>
      <c r="C325" s="182">
        <f t="shared" si="71"/>
        <v>1</v>
      </c>
      <c r="D325" s="182" t="str">
        <f t="shared" si="70"/>
        <v>Boisson spécial numéro 1</v>
      </c>
      <c r="E325" s="268">
        <f t="shared" ref="E325:F336" si="72">E282</f>
        <v>2.2799999999999998</v>
      </c>
      <c r="F325" s="267">
        <f t="shared" si="72"/>
        <v>6.6</v>
      </c>
      <c r="G325" s="266">
        <f t="shared" ref="G325:G337" si="73">E325/F325</f>
        <v>0.34545454545454546</v>
      </c>
      <c r="H325" s="265">
        <f t="shared" ref="H325:H337" si="74">F325-E325</f>
        <v>4.32</v>
      </c>
      <c r="I325" s="264"/>
      <c r="J325" s="182"/>
      <c r="K325" s="182"/>
      <c r="L325" s="231"/>
      <c r="M325" s="230"/>
      <c r="N325" s="217"/>
    </row>
    <row r="326" spans="1:14" ht="18" x14ac:dyDescent="0.3">
      <c r="A326" s="624"/>
      <c r="B326" s="182">
        <f t="shared" si="71"/>
        <v>14</v>
      </c>
      <c r="C326" s="182">
        <f t="shared" si="71"/>
        <v>2</v>
      </c>
      <c r="D326" s="182" t="str">
        <f t="shared" si="70"/>
        <v>Boisson spécial numéro 2</v>
      </c>
      <c r="E326" s="268">
        <f t="shared" si="72"/>
        <v>2.66</v>
      </c>
      <c r="F326" s="267">
        <f t="shared" si="72"/>
        <v>7.6</v>
      </c>
      <c r="G326" s="266">
        <f t="shared" si="73"/>
        <v>0.35000000000000003</v>
      </c>
      <c r="H326" s="265">
        <f t="shared" si="74"/>
        <v>4.9399999999999995</v>
      </c>
      <c r="I326" s="264"/>
      <c r="J326" s="182"/>
      <c r="K326" s="182"/>
      <c r="L326" s="231"/>
      <c r="M326" s="230"/>
      <c r="N326" s="217"/>
    </row>
    <row r="327" spans="1:14" ht="18" x14ac:dyDescent="0.3">
      <c r="A327" s="624"/>
      <c r="B327" s="182">
        <f t="shared" si="71"/>
        <v>15</v>
      </c>
      <c r="C327" s="182">
        <f t="shared" si="71"/>
        <v>3</v>
      </c>
      <c r="D327" s="182" t="str">
        <f t="shared" si="70"/>
        <v>Boisson spécial numéro 3</v>
      </c>
      <c r="E327" s="268">
        <f t="shared" si="72"/>
        <v>2.74</v>
      </c>
      <c r="F327" s="267">
        <f t="shared" si="72"/>
        <v>8</v>
      </c>
      <c r="G327" s="266">
        <f t="shared" si="73"/>
        <v>0.34250000000000003</v>
      </c>
      <c r="H327" s="265">
        <f t="shared" si="74"/>
        <v>5.26</v>
      </c>
      <c r="I327" s="264"/>
      <c r="J327" s="182"/>
      <c r="K327" s="182"/>
      <c r="L327" s="231"/>
      <c r="M327" s="230"/>
      <c r="N327" s="217"/>
    </row>
    <row r="328" spans="1:14" ht="18" x14ac:dyDescent="0.3">
      <c r="A328" s="624"/>
      <c r="B328" s="182">
        <f t="shared" si="71"/>
        <v>16</v>
      </c>
      <c r="C328" s="182">
        <f t="shared" si="71"/>
        <v>4</v>
      </c>
      <c r="D328" s="182" t="str">
        <f t="shared" si="70"/>
        <v>Boisson spécial numéro 4</v>
      </c>
      <c r="E328" s="268">
        <f t="shared" si="72"/>
        <v>2.72</v>
      </c>
      <c r="F328" s="267">
        <f t="shared" si="72"/>
        <v>9</v>
      </c>
      <c r="G328" s="266">
        <f t="shared" si="73"/>
        <v>0.30222222222222223</v>
      </c>
      <c r="H328" s="265">
        <f t="shared" si="74"/>
        <v>6.2799999999999994</v>
      </c>
      <c r="I328" s="264"/>
      <c r="J328" s="182"/>
      <c r="K328" s="182"/>
      <c r="L328" s="231"/>
      <c r="M328" s="230"/>
      <c r="N328" s="217"/>
    </row>
    <row r="329" spans="1:14" ht="18" x14ac:dyDescent="0.3">
      <c r="A329" s="624"/>
      <c r="B329" s="182">
        <f t="shared" si="71"/>
        <v>17</v>
      </c>
      <c r="C329" s="182">
        <f t="shared" si="71"/>
        <v>5</v>
      </c>
      <c r="D329" s="182" t="str">
        <f t="shared" si="70"/>
        <v>Boisson spécial numéro 5</v>
      </c>
      <c r="E329" s="268">
        <f t="shared" si="72"/>
        <v>2.76</v>
      </c>
      <c r="F329" s="267">
        <f t="shared" si="72"/>
        <v>9.1999999999999993</v>
      </c>
      <c r="G329" s="266">
        <f t="shared" si="73"/>
        <v>0.3</v>
      </c>
      <c r="H329" s="265">
        <f t="shared" si="74"/>
        <v>6.4399999999999995</v>
      </c>
      <c r="I329" s="264"/>
      <c r="J329" s="182"/>
      <c r="K329" s="182"/>
      <c r="L329" s="231"/>
      <c r="M329" s="230"/>
      <c r="N329" s="217"/>
    </row>
    <row r="330" spans="1:14" ht="18" x14ac:dyDescent="0.3">
      <c r="A330" s="624"/>
      <c r="B330" s="182">
        <f t="shared" si="71"/>
        <v>18</v>
      </c>
      <c r="C330" s="182">
        <f t="shared" si="71"/>
        <v>6</v>
      </c>
      <c r="D330" s="182" t="str">
        <f t="shared" si="70"/>
        <v>Boisson spécial numéro 6</v>
      </c>
      <c r="E330" s="268">
        <f t="shared" si="72"/>
        <v>2.8</v>
      </c>
      <c r="F330" s="267">
        <f t="shared" si="72"/>
        <v>9.4</v>
      </c>
      <c r="G330" s="266">
        <f t="shared" si="73"/>
        <v>0.2978723404255319</v>
      </c>
      <c r="H330" s="265">
        <f t="shared" si="74"/>
        <v>6.6000000000000005</v>
      </c>
      <c r="I330" s="264"/>
      <c r="J330" s="182"/>
      <c r="K330" s="182"/>
      <c r="L330" s="231"/>
      <c r="M330" s="230"/>
      <c r="N330" s="217"/>
    </row>
    <row r="331" spans="1:14" ht="18" x14ac:dyDescent="0.3">
      <c r="A331" s="624"/>
      <c r="B331" s="182">
        <f t="shared" si="71"/>
        <v>19</v>
      </c>
      <c r="C331" s="182">
        <f t="shared" si="71"/>
        <v>7</v>
      </c>
      <c r="D331" s="182" t="str">
        <f t="shared" si="70"/>
        <v>Boisson spécial numéro 7</v>
      </c>
      <c r="E331" s="268">
        <f t="shared" si="72"/>
        <v>2.82</v>
      </c>
      <c r="F331" s="267">
        <f t="shared" si="72"/>
        <v>9.6</v>
      </c>
      <c r="G331" s="266">
        <f t="shared" si="73"/>
        <v>0.29375000000000001</v>
      </c>
      <c r="H331" s="265">
        <f t="shared" si="74"/>
        <v>6.7799999999999994</v>
      </c>
      <c r="I331" s="264"/>
      <c r="J331" s="182"/>
      <c r="K331" s="182"/>
      <c r="L331" s="231"/>
      <c r="M331" s="230"/>
      <c r="N331" s="217"/>
    </row>
    <row r="332" spans="1:14" ht="18" x14ac:dyDescent="0.3">
      <c r="A332" s="624"/>
      <c r="B332" s="182">
        <f t="shared" si="71"/>
        <v>20</v>
      </c>
      <c r="C332" s="182">
        <f t="shared" si="71"/>
        <v>8</v>
      </c>
      <c r="D332" s="182" t="str">
        <f t="shared" si="70"/>
        <v>Boisson spécial numéro 8</v>
      </c>
      <c r="E332" s="268">
        <f t="shared" si="72"/>
        <v>2.86</v>
      </c>
      <c r="F332" s="267">
        <f t="shared" si="72"/>
        <v>9.8000000000000007</v>
      </c>
      <c r="G332" s="266">
        <f t="shared" si="73"/>
        <v>0.2918367346938775</v>
      </c>
      <c r="H332" s="265">
        <f t="shared" si="74"/>
        <v>6.9400000000000013</v>
      </c>
      <c r="I332" s="264"/>
      <c r="J332" s="182"/>
      <c r="K332" s="182"/>
      <c r="L332" s="231"/>
      <c r="M332" s="230"/>
      <c r="N332" s="217"/>
    </row>
    <row r="333" spans="1:14" ht="18" x14ac:dyDescent="0.3">
      <c r="A333" s="624"/>
      <c r="B333" s="182">
        <f t="shared" si="71"/>
        <v>21</v>
      </c>
      <c r="C333" s="182">
        <f t="shared" si="71"/>
        <v>9</v>
      </c>
      <c r="D333" s="182" t="str">
        <f t="shared" si="70"/>
        <v>Boisson spécial numéro 9</v>
      </c>
      <c r="E333" s="268">
        <f t="shared" si="72"/>
        <v>2.9</v>
      </c>
      <c r="F333" s="267">
        <f t="shared" si="72"/>
        <v>10</v>
      </c>
      <c r="G333" s="266">
        <f t="shared" si="73"/>
        <v>0.28999999999999998</v>
      </c>
      <c r="H333" s="265">
        <f t="shared" si="74"/>
        <v>7.1</v>
      </c>
      <c r="I333" s="264"/>
      <c r="J333" s="182"/>
      <c r="K333" s="182"/>
      <c r="L333" s="231"/>
      <c r="M333" s="230"/>
      <c r="N333" s="217"/>
    </row>
    <row r="334" spans="1:14" ht="18" x14ac:dyDescent="0.3">
      <c r="A334" s="624"/>
      <c r="B334" s="182">
        <f t="shared" si="71"/>
        <v>22</v>
      </c>
      <c r="C334" s="182">
        <f t="shared" si="71"/>
        <v>10</v>
      </c>
      <c r="D334" s="182" t="str">
        <f t="shared" si="70"/>
        <v>Boisson spécial numéro 10</v>
      </c>
      <c r="E334" s="268">
        <f t="shared" si="72"/>
        <v>2.98</v>
      </c>
      <c r="F334" s="267">
        <f t="shared" si="72"/>
        <v>10.4</v>
      </c>
      <c r="G334" s="266">
        <f t="shared" si="73"/>
        <v>0.28653846153846152</v>
      </c>
      <c r="H334" s="265">
        <f t="shared" si="74"/>
        <v>7.42</v>
      </c>
      <c r="I334" s="264"/>
      <c r="J334" s="182"/>
      <c r="K334" s="182"/>
      <c r="L334" s="231"/>
      <c r="M334" s="230"/>
      <c r="N334" s="217"/>
    </row>
    <row r="335" spans="1:14" ht="18" x14ac:dyDescent="0.3">
      <c r="A335" s="624"/>
      <c r="B335" s="182">
        <f t="shared" si="71"/>
        <v>23</v>
      </c>
      <c r="C335" s="182">
        <f t="shared" si="71"/>
        <v>11</v>
      </c>
      <c r="D335" s="182" t="str">
        <f t="shared" si="70"/>
        <v>Boisson spécial numéro 11</v>
      </c>
      <c r="E335" s="268">
        <f t="shared" si="72"/>
        <v>3.18</v>
      </c>
      <c r="F335" s="267">
        <f t="shared" si="72"/>
        <v>11.6</v>
      </c>
      <c r="G335" s="266">
        <f t="shared" si="73"/>
        <v>0.27413793103448281</v>
      </c>
      <c r="H335" s="265">
        <f t="shared" si="74"/>
        <v>8.42</v>
      </c>
      <c r="I335" s="264"/>
      <c r="J335" s="182"/>
      <c r="K335" s="182"/>
      <c r="L335" s="231"/>
      <c r="M335" s="230"/>
      <c r="N335" s="217"/>
    </row>
    <row r="336" spans="1:14" ht="18" x14ac:dyDescent="0.3">
      <c r="A336" s="624"/>
      <c r="B336" s="182">
        <f t="shared" si="71"/>
        <v>24</v>
      </c>
      <c r="C336" s="182">
        <f t="shared" si="71"/>
        <v>12</v>
      </c>
      <c r="D336" s="182" t="str">
        <f t="shared" si="70"/>
        <v>Boisson spécial numéro 12</v>
      </c>
      <c r="E336" s="268">
        <f t="shared" si="72"/>
        <v>3.48</v>
      </c>
      <c r="F336" s="267">
        <f t="shared" si="72"/>
        <v>13.2</v>
      </c>
      <c r="G336" s="266">
        <f t="shared" si="73"/>
        <v>0.26363636363636367</v>
      </c>
      <c r="H336" s="265">
        <f t="shared" si="74"/>
        <v>9.7199999999999989</v>
      </c>
      <c r="I336" s="264"/>
      <c r="J336" s="182"/>
      <c r="K336" s="182"/>
      <c r="L336" s="231"/>
      <c r="M336" s="230"/>
      <c r="N336" s="217"/>
    </row>
    <row r="337" spans="1:14" ht="19" x14ac:dyDescent="0.35">
      <c r="A337" s="624"/>
      <c r="B337" s="182"/>
      <c r="C337" s="182"/>
      <c r="D337" s="241" t="str">
        <f t="shared" si="70"/>
        <v>CmO—PmO—Beverage Cost—Marge brute</v>
      </c>
      <c r="E337" s="262">
        <f>SUM(E325:E336)/C336</f>
        <v>2.8483333333333332</v>
      </c>
      <c r="F337" s="262">
        <f>SUM(F325:F336)/C336</f>
        <v>9.5333333333333332</v>
      </c>
      <c r="G337" s="261">
        <f t="shared" si="73"/>
        <v>0.29877622377622376</v>
      </c>
      <c r="H337" s="260">
        <f t="shared" si="74"/>
        <v>6.6850000000000005</v>
      </c>
      <c r="I337" s="259"/>
      <c r="J337" s="182"/>
      <c r="K337" s="182"/>
      <c r="L337" s="291">
        <v>1</v>
      </c>
      <c r="M337" s="230" t="s">
        <v>1</v>
      </c>
      <c r="N337" s="217"/>
    </row>
    <row r="338" spans="1:14" ht="19" thickBot="1" x14ac:dyDescent="0.35">
      <c r="A338" s="624"/>
      <c r="B338" s="182"/>
      <c r="C338" s="182"/>
      <c r="D338" s="182"/>
      <c r="E338" s="245"/>
      <c r="F338" s="245"/>
      <c r="G338" s="244"/>
      <c r="H338" s="243"/>
      <c r="I338" s="182"/>
      <c r="J338" s="182"/>
      <c r="K338" s="182"/>
      <c r="L338" s="231"/>
      <c r="M338" s="230"/>
      <c r="N338" s="217"/>
    </row>
    <row r="339" spans="1:14" ht="21" thickTop="1" thickBot="1" x14ac:dyDescent="0.4">
      <c r="A339" s="624"/>
      <c r="B339" s="182"/>
      <c r="C339" s="256"/>
      <c r="D339" s="255"/>
      <c r="E339" s="254"/>
      <c r="F339" s="254"/>
      <c r="G339" s="253"/>
      <c r="H339" s="252"/>
      <c r="I339" s="251"/>
      <c r="J339" s="182"/>
      <c r="K339" s="182"/>
      <c r="L339" s="231"/>
      <c r="M339" s="230"/>
      <c r="N339" s="217"/>
    </row>
    <row r="340" spans="1:14" ht="20" thickTop="1" thickBot="1" x14ac:dyDescent="0.35">
      <c r="A340" s="624"/>
      <c r="B340" s="182"/>
      <c r="C340" s="236"/>
      <c r="D340" s="241"/>
      <c r="E340" s="250" t="str">
        <f>E297</f>
        <v>CmO</v>
      </c>
      <c r="F340" s="250" t="str">
        <f>F297</f>
        <v>PmO</v>
      </c>
      <c r="G340" s="249" t="str">
        <f>G297</f>
        <v>F&amp;BCmO</v>
      </c>
      <c r="H340" s="248" t="str">
        <f>H297</f>
        <v>BmO</v>
      </c>
      <c r="I340" s="247"/>
      <c r="J340" s="182"/>
      <c r="K340" s="182"/>
      <c r="L340" s="231"/>
      <c r="M340" s="230"/>
      <c r="N340" s="217"/>
    </row>
    <row r="341" spans="1:14" ht="19" thickTop="1" x14ac:dyDescent="0.3">
      <c r="A341" s="624"/>
      <c r="B341" s="182"/>
      <c r="C341" s="236"/>
      <c r="D341" s="246" t="str">
        <f>D298</f>
        <v>OFFRE TOTALE AVEC LES GÂTERIES ET LES CAFÉS GÂTERIES</v>
      </c>
      <c r="E341" s="245"/>
      <c r="F341" s="245"/>
      <c r="G341" s="244"/>
      <c r="H341" s="243"/>
      <c r="I341" s="242"/>
      <c r="J341" s="182"/>
      <c r="K341" s="182"/>
      <c r="L341" s="231"/>
      <c r="M341" s="230"/>
      <c r="N341" s="217"/>
    </row>
    <row r="342" spans="1:14" ht="19" x14ac:dyDescent="0.35">
      <c r="A342" s="624"/>
      <c r="B342" s="182"/>
      <c r="C342" s="236"/>
      <c r="D342" s="241" t="str">
        <f>D299</f>
        <v>CmO—PmO—F&amp;B cost moyen offert—Marge brute</v>
      </c>
      <c r="E342" s="240">
        <f>+(E310+E311+E312+E313+E314+E315+E316+E317+E318+E319+E320+E321+E325+E326+E327+E328+E329+E330+E331+E332+E333+E334+E335+E336)/B336</f>
        <v>2.1649999999999996</v>
      </c>
      <c r="F342" s="240">
        <f>+(F310+F311+F312+F313+F314+F315+F316+F317+F318+F319+F320+F321+F325+F326+F327+F328+F329+F330+F331+F332+F333+F334+F335+F336)/B336</f>
        <v>7.1749999999999998</v>
      </c>
      <c r="G342" s="239">
        <f>E342/F342</f>
        <v>0.30174216027874562</v>
      </c>
      <c r="H342" s="238">
        <f>F342-E342</f>
        <v>5.01</v>
      </c>
      <c r="I342" s="237"/>
      <c r="J342" s="182"/>
      <c r="K342" s="182"/>
      <c r="L342" s="231">
        <f>L299</f>
        <v>2</v>
      </c>
      <c r="M342" s="230">
        <f>'% Occupation'!K19</f>
        <v>196</v>
      </c>
      <c r="N342" s="217"/>
    </row>
    <row r="343" spans="1:14" ht="18" x14ac:dyDescent="0.3">
      <c r="A343" s="624"/>
      <c r="B343" s="182"/>
      <c r="C343" s="236"/>
      <c r="D343" s="182"/>
      <c r="E343" s="235"/>
      <c r="F343" s="235"/>
      <c r="G343" s="234"/>
      <c r="H343" s="233"/>
      <c r="I343" s="232"/>
      <c r="J343" s="182"/>
      <c r="K343" s="182"/>
      <c r="L343" s="231"/>
      <c r="M343" s="230"/>
      <c r="N343" s="217"/>
    </row>
    <row r="344" spans="1:14" ht="19" thickBot="1" x14ac:dyDescent="0.35">
      <c r="A344" s="624"/>
      <c r="B344" s="182"/>
      <c r="C344" s="229"/>
      <c r="D344" s="228"/>
      <c r="E344" s="227"/>
      <c r="F344" s="227"/>
      <c r="G344" s="226"/>
      <c r="H344" s="225"/>
      <c r="I344" s="224"/>
      <c r="J344" s="182"/>
      <c r="K344" s="182"/>
      <c r="L344" s="223"/>
      <c r="M344" s="222"/>
      <c r="N344" s="217"/>
    </row>
    <row r="345" spans="1:14" ht="19" thickTop="1" x14ac:dyDescent="0.3">
      <c r="A345" s="624"/>
      <c r="L345" s="220"/>
      <c r="M345" s="218"/>
      <c r="N345" s="217"/>
    </row>
    <row r="346" spans="1:14" ht="23" x14ac:dyDescent="0.3">
      <c r="A346" s="624"/>
      <c r="D346" s="287" t="s">
        <v>90</v>
      </c>
      <c r="F346" s="283"/>
      <c r="L346" s="220"/>
      <c r="M346" s="218"/>
      <c r="N346" s="217"/>
    </row>
    <row r="347" spans="1:14" ht="24" thickBot="1" x14ac:dyDescent="0.35">
      <c r="A347" s="624"/>
      <c r="D347" s="285"/>
      <c r="L347" s="220"/>
      <c r="M347" s="218"/>
      <c r="N347" s="217"/>
    </row>
    <row r="348" spans="1:14" ht="23" customHeight="1" thickTop="1" x14ac:dyDescent="0.25">
      <c r="A348" s="624"/>
      <c r="D348" s="285"/>
      <c r="E348" s="604" t="str">
        <f>E305</f>
        <v>Coûts des ressources alimentaires pour chaque produit offert (voir recettes standardisées)</v>
      </c>
      <c r="F348" s="604" t="str">
        <f>F305</f>
        <v>Prix de vente par produit offert</v>
      </c>
      <c r="G348" s="604" t="str">
        <f>G305</f>
        <v xml:space="preserve">« Food &amp; Beverage Cost » </v>
      </c>
      <c r="H348" s="604" t="str">
        <f>H305</f>
        <v>Marge brute gagnée sur la vente de chaque produit offert</v>
      </c>
      <c r="I348" s="286"/>
      <c r="L348" s="613" t="s">
        <v>84</v>
      </c>
      <c r="M348" s="613" t="s">
        <v>83</v>
      </c>
      <c r="N348" s="217"/>
    </row>
    <row r="349" spans="1:14" ht="22" x14ac:dyDescent="0.25">
      <c r="A349" s="624"/>
      <c r="D349" s="285"/>
      <c r="E349" s="605"/>
      <c r="F349" s="607"/>
      <c r="G349" s="607"/>
      <c r="H349" s="607"/>
      <c r="I349" s="284"/>
      <c r="L349" s="614"/>
      <c r="M349" s="616"/>
      <c r="N349" s="217"/>
    </row>
    <row r="350" spans="1:14" ht="14" customHeight="1" thickBot="1" x14ac:dyDescent="0.25">
      <c r="A350" s="624"/>
      <c r="E350" s="606"/>
      <c r="F350" s="608"/>
      <c r="G350" s="608"/>
      <c r="H350" s="608"/>
      <c r="I350" s="284"/>
      <c r="L350" s="615"/>
      <c r="M350" s="617"/>
      <c r="N350" s="217"/>
    </row>
    <row r="351" spans="1:14" ht="20" thickTop="1" thickBot="1" x14ac:dyDescent="0.35">
      <c r="A351" s="624"/>
      <c r="B351" s="149" t="s">
        <v>1</v>
      </c>
      <c r="E351" s="283"/>
      <c r="F351" s="283"/>
      <c r="G351" s="282"/>
      <c r="L351" s="220"/>
      <c r="M351" s="218"/>
      <c r="N351" s="217"/>
    </row>
    <row r="352" spans="1:14" ht="19" thickTop="1" x14ac:dyDescent="0.3">
      <c r="A352" s="624"/>
      <c r="B352" s="182"/>
      <c r="C352" s="182"/>
      <c r="D352" s="241" t="str">
        <f t="shared" ref="D352:D365" si="75">D309</f>
        <v>Les Petite Gâteries</v>
      </c>
      <c r="E352" s="264"/>
      <c r="F352" s="264"/>
      <c r="G352" s="244"/>
      <c r="H352" s="182"/>
      <c r="I352" s="182"/>
      <c r="J352" s="182"/>
      <c r="K352" s="182"/>
      <c r="L352" s="281"/>
      <c r="M352" s="280"/>
      <c r="N352" s="217"/>
    </row>
    <row r="353" spans="1:14" ht="18" x14ac:dyDescent="0.3">
      <c r="A353" s="624"/>
      <c r="B353" s="182">
        <f t="shared" ref="B353:C364" si="76">B310</f>
        <v>1</v>
      </c>
      <c r="C353" s="182">
        <f t="shared" si="76"/>
        <v>1</v>
      </c>
      <c r="D353" s="182" t="str">
        <f t="shared" si="75"/>
        <v>Petite Gâterie 1</v>
      </c>
      <c r="E353" s="268">
        <f t="shared" ref="E353:F364" si="77">E310</f>
        <v>1.21</v>
      </c>
      <c r="F353" s="267">
        <f t="shared" si="77"/>
        <v>3.3</v>
      </c>
      <c r="G353" s="266">
        <f t="shared" ref="G353:G365" si="78">E353/F353</f>
        <v>0.3666666666666667</v>
      </c>
      <c r="H353" s="265">
        <f t="shared" ref="H353:H365" si="79">F353-E353</f>
        <v>2.09</v>
      </c>
      <c r="I353" s="264"/>
      <c r="J353" s="182"/>
      <c r="K353" s="182"/>
      <c r="L353" s="279"/>
      <c r="M353" s="230"/>
      <c r="N353" s="217"/>
    </row>
    <row r="354" spans="1:14" ht="18" x14ac:dyDescent="0.3">
      <c r="A354" s="624"/>
      <c r="B354" s="182">
        <f t="shared" si="76"/>
        <v>2</v>
      </c>
      <c r="C354" s="182">
        <f t="shared" si="76"/>
        <v>2</v>
      </c>
      <c r="D354" s="182" t="str">
        <f t="shared" si="75"/>
        <v>Petite Gâterie 2</v>
      </c>
      <c r="E354" s="268">
        <f t="shared" si="77"/>
        <v>1.31</v>
      </c>
      <c r="F354" s="267">
        <f t="shared" si="77"/>
        <v>3.8</v>
      </c>
      <c r="G354" s="266">
        <f t="shared" si="78"/>
        <v>0.34473684210526317</v>
      </c>
      <c r="H354" s="265">
        <f t="shared" si="79"/>
        <v>2.4899999999999998</v>
      </c>
      <c r="I354" s="264"/>
      <c r="J354" s="182"/>
      <c r="K354" s="182"/>
      <c r="L354" s="231"/>
      <c r="M354" s="230"/>
      <c r="N354" s="217"/>
    </row>
    <row r="355" spans="1:14" ht="18" x14ac:dyDescent="0.3">
      <c r="A355" s="624"/>
      <c r="B355" s="182">
        <f t="shared" si="76"/>
        <v>3</v>
      </c>
      <c r="C355" s="182">
        <f t="shared" si="76"/>
        <v>3</v>
      </c>
      <c r="D355" s="182" t="str">
        <f t="shared" si="75"/>
        <v>Petite Gâterie 3</v>
      </c>
      <c r="E355" s="268">
        <f t="shared" si="77"/>
        <v>1.35</v>
      </c>
      <c r="F355" s="267">
        <f t="shared" si="77"/>
        <v>4</v>
      </c>
      <c r="G355" s="266">
        <f t="shared" si="78"/>
        <v>0.33750000000000002</v>
      </c>
      <c r="H355" s="265">
        <f t="shared" si="79"/>
        <v>2.65</v>
      </c>
      <c r="I355" s="264"/>
      <c r="J355" s="182"/>
      <c r="K355" s="182"/>
      <c r="L355" s="231"/>
      <c r="M355" s="230"/>
      <c r="N355" s="217"/>
    </row>
    <row r="356" spans="1:14" ht="18" x14ac:dyDescent="0.3">
      <c r="A356" s="624"/>
      <c r="B356" s="182">
        <f t="shared" si="76"/>
        <v>4</v>
      </c>
      <c r="C356" s="182">
        <f t="shared" si="76"/>
        <v>4</v>
      </c>
      <c r="D356" s="182" t="str">
        <f t="shared" si="75"/>
        <v>Petite Gâterie 4</v>
      </c>
      <c r="E356" s="268">
        <f t="shared" si="77"/>
        <v>1.4</v>
      </c>
      <c r="F356" s="267">
        <f t="shared" si="77"/>
        <v>4.5</v>
      </c>
      <c r="G356" s="266">
        <f t="shared" si="78"/>
        <v>0.31111111111111112</v>
      </c>
      <c r="H356" s="265">
        <f t="shared" si="79"/>
        <v>3.1</v>
      </c>
      <c r="I356" s="264"/>
      <c r="J356" s="182"/>
      <c r="K356" s="182"/>
      <c r="L356" s="231"/>
      <c r="M356" s="230"/>
      <c r="N356" s="217"/>
    </row>
    <row r="357" spans="1:14" ht="18" x14ac:dyDescent="0.3">
      <c r="A357" s="624"/>
      <c r="B357" s="182">
        <f t="shared" si="76"/>
        <v>5</v>
      </c>
      <c r="C357" s="182">
        <f t="shared" si="76"/>
        <v>5</v>
      </c>
      <c r="D357" s="182" t="str">
        <f t="shared" si="75"/>
        <v>Petite Gâterie 5</v>
      </c>
      <c r="E357" s="268">
        <f t="shared" si="77"/>
        <v>1.24</v>
      </c>
      <c r="F357" s="267">
        <f t="shared" si="77"/>
        <v>4.5999999999999996</v>
      </c>
      <c r="G357" s="266">
        <f t="shared" si="78"/>
        <v>0.26956521739130435</v>
      </c>
      <c r="H357" s="265">
        <f t="shared" si="79"/>
        <v>3.3599999999999994</v>
      </c>
      <c r="I357" s="264"/>
      <c r="J357" s="182"/>
      <c r="K357" s="182"/>
      <c r="L357" s="231"/>
      <c r="M357" s="230"/>
      <c r="N357" s="217"/>
    </row>
    <row r="358" spans="1:14" ht="18" x14ac:dyDescent="0.3">
      <c r="A358" s="624"/>
      <c r="B358" s="182">
        <f t="shared" si="76"/>
        <v>6</v>
      </c>
      <c r="C358" s="182">
        <f t="shared" si="76"/>
        <v>6</v>
      </c>
      <c r="D358" s="182" t="str">
        <f t="shared" si="75"/>
        <v>Petite Gâterie 6</v>
      </c>
      <c r="E358" s="268">
        <f t="shared" si="77"/>
        <v>1.39</v>
      </c>
      <c r="F358" s="267">
        <f t="shared" si="77"/>
        <v>4.7</v>
      </c>
      <c r="G358" s="266">
        <f t="shared" si="78"/>
        <v>0.29574468085106381</v>
      </c>
      <c r="H358" s="265">
        <f t="shared" si="79"/>
        <v>3.3100000000000005</v>
      </c>
      <c r="I358" s="264"/>
      <c r="J358" s="182"/>
      <c r="K358" s="182"/>
      <c r="L358" s="231"/>
      <c r="M358" s="230"/>
      <c r="N358" s="217"/>
    </row>
    <row r="359" spans="1:14" ht="18" x14ac:dyDescent="0.3">
      <c r="A359" s="624"/>
      <c r="B359" s="182">
        <f t="shared" si="76"/>
        <v>7</v>
      </c>
      <c r="C359" s="182">
        <f t="shared" si="76"/>
        <v>7</v>
      </c>
      <c r="D359" s="182" t="str">
        <f t="shared" si="75"/>
        <v>Petite Gâterie 7</v>
      </c>
      <c r="E359" s="268">
        <f t="shared" si="77"/>
        <v>1.51</v>
      </c>
      <c r="F359" s="267">
        <f t="shared" si="77"/>
        <v>4.8</v>
      </c>
      <c r="G359" s="266">
        <f t="shared" si="78"/>
        <v>0.31458333333333333</v>
      </c>
      <c r="H359" s="265">
        <f t="shared" si="79"/>
        <v>3.29</v>
      </c>
      <c r="I359" s="264"/>
      <c r="J359" s="182"/>
      <c r="K359" s="182"/>
      <c r="L359" s="231"/>
      <c r="M359" s="230"/>
      <c r="N359" s="217"/>
    </row>
    <row r="360" spans="1:14" ht="18" x14ac:dyDescent="0.3">
      <c r="A360" s="624"/>
      <c r="B360" s="182">
        <f t="shared" si="76"/>
        <v>8</v>
      </c>
      <c r="C360" s="182">
        <f t="shared" si="76"/>
        <v>8</v>
      </c>
      <c r="D360" s="182" t="str">
        <f t="shared" si="75"/>
        <v>Petite Gâterie 8</v>
      </c>
      <c r="E360" s="268">
        <f t="shared" si="77"/>
        <v>1.53</v>
      </c>
      <c r="F360" s="267">
        <f t="shared" si="77"/>
        <v>4.9000000000000004</v>
      </c>
      <c r="G360" s="266">
        <f t="shared" si="78"/>
        <v>0.31224489795918364</v>
      </c>
      <c r="H360" s="265">
        <f t="shared" si="79"/>
        <v>3.37</v>
      </c>
      <c r="I360" s="264"/>
      <c r="J360" s="182"/>
      <c r="K360" s="182"/>
      <c r="L360" s="231"/>
      <c r="M360" s="230"/>
      <c r="N360" s="217"/>
    </row>
    <row r="361" spans="1:14" ht="18" x14ac:dyDescent="0.3">
      <c r="A361" s="624"/>
      <c r="B361" s="182">
        <f t="shared" si="76"/>
        <v>9</v>
      </c>
      <c r="C361" s="182">
        <f t="shared" si="76"/>
        <v>9</v>
      </c>
      <c r="D361" s="182" t="str">
        <f t="shared" si="75"/>
        <v>Petite Gâterie 9</v>
      </c>
      <c r="E361" s="268">
        <f t="shared" si="77"/>
        <v>1.55</v>
      </c>
      <c r="F361" s="267">
        <f t="shared" si="77"/>
        <v>5</v>
      </c>
      <c r="G361" s="266">
        <f t="shared" si="78"/>
        <v>0.31</v>
      </c>
      <c r="H361" s="265">
        <f t="shared" si="79"/>
        <v>3.45</v>
      </c>
      <c r="I361" s="264"/>
      <c r="J361" s="182"/>
      <c r="K361" s="182"/>
      <c r="L361" s="231"/>
      <c r="M361" s="230"/>
      <c r="N361" s="217"/>
    </row>
    <row r="362" spans="1:14" ht="18" x14ac:dyDescent="0.3">
      <c r="A362" s="624"/>
      <c r="B362" s="182">
        <f t="shared" si="76"/>
        <v>10</v>
      </c>
      <c r="C362" s="182">
        <f t="shared" si="76"/>
        <v>10</v>
      </c>
      <c r="D362" s="182" t="str">
        <f t="shared" si="75"/>
        <v>Petite Gâterie 10</v>
      </c>
      <c r="E362" s="268">
        <f t="shared" si="77"/>
        <v>1.59</v>
      </c>
      <c r="F362" s="267">
        <f t="shared" si="77"/>
        <v>5.2</v>
      </c>
      <c r="G362" s="266">
        <f t="shared" si="78"/>
        <v>0.30576923076923079</v>
      </c>
      <c r="H362" s="265">
        <f t="shared" si="79"/>
        <v>3.6100000000000003</v>
      </c>
      <c r="I362" s="264"/>
      <c r="J362" s="182"/>
      <c r="K362" s="182"/>
      <c r="L362" s="231"/>
      <c r="M362" s="230"/>
      <c r="N362" s="217"/>
    </row>
    <row r="363" spans="1:14" ht="18" x14ac:dyDescent="0.3">
      <c r="A363" s="624"/>
      <c r="B363" s="182">
        <f t="shared" si="76"/>
        <v>11</v>
      </c>
      <c r="C363" s="182">
        <f t="shared" si="76"/>
        <v>11</v>
      </c>
      <c r="D363" s="182" t="str">
        <f t="shared" si="75"/>
        <v>Petite Gâterie 11</v>
      </c>
      <c r="E363" s="268">
        <f t="shared" si="77"/>
        <v>1.83</v>
      </c>
      <c r="F363" s="267">
        <f t="shared" si="77"/>
        <v>6.4</v>
      </c>
      <c r="G363" s="266">
        <f t="shared" si="78"/>
        <v>0.28593750000000001</v>
      </c>
      <c r="H363" s="265">
        <f t="shared" si="79"/>
        <v>4.57</v>
      </c>
      <c r="I363" s="264"/>
      <c r="J363" s="182"/>
      <c r="K363" s="182"/>
      <c r="L363" s="231"/>
      <c r="M363" s="230"/>
      <c r="N363" s="217"/>
    </row>
    <row r="364" spans="1:14" ht="18" x14ac:dyDescent="0.3">
      <c r="A364" s="624"/>
      <c r="B364" s="182">
        <f t="shared" si="76"/>
        <v>12</v>
      </c>
      <c r="C364" s="182">
        <f t="shared" si="76"/>
        <v>12</v>
      </c>
      <c r="D364" s="182" t="str">
        <f t="shared" si="75"/>
        <v>Petite Gâterie 12</v>
      </c>
      <c r="E364" s="268">
        <f t="shared" si="77"/>
        <v>1.87</v>
      </c>
      <c r="F364" s="267">
        <f t="shared" si="77"/>
        <v>6.6</v>
      </c>
      <c r="G364" s="266">
        <f t="shared" si="78"/>
        <v>0.28333333333333338</v>
      </c>
      <c r="H364" s="265">
        <f t="shared" si="79"/>
        <v>4.7299999999999995</v>
      </c>
      <c r="I364" s="264"/>
      <c r="J364" s="182"/>
      <c r="K364" s="182"/>
      <c r="L364" s="231"/>
      <c r="M364" s="230"/>
      <c r="N364" s="217"/>
    </row>
    <row r="365" spans="1:14" ht="19" x14ac:dyDescent="0.35">
      <c r="A365" s="624"/>
      <c r="B365" s="182"/>
      <c r="C365" s="182"/>
      <c r="D365" s="241" t="str">
        <f t="shared" si="75"/>
        <v>CmO—PmO—Food Cost—BmO</v>
      </c>
      <c r="E365" s="262">
        <f>SUM(E353:E364)/C364</f>
        <v>1.4816666666666667</v>
      </c>
      <c r="F365" s="262">
        <f>SUM(F353:F364)/C364</f>
        <v>4.8166666666666673</v>
      </c>
      <c r="G365" s="277">
        <f t="shared" si="78"/>
        <v>0.30761245674740478</v>
      </c>
      <c r="H365" s="260">
        <f t="shared" si="79"/>
        <v>3.3350000000000009</v>
      </c>
      <c r="I365" s="259"/>
      <c r="J365" s="182"/>
      <c r="K365" s="182"/>
      <c r="L365" s="291">
        <v>1</v>
      </c>
      <c r="M365" s="230" t="s">
        <v>1</v>
      </c>
      <c r="N365" s="217"/>
    </row>
    <row r="366" spans="1:14" ht="18" x14ac:dyDescent="0.3">
      <c r="A366" s="624"/>
      <c r="B366" s="182" t="s">
        <v>1</v>
      </c>
      <c r="C366" s="182"/>
      <c r="D366" s="182"/>
      <c r="E366" s="245"/>
      <c r="F366" s="245"/>
      <c r="G366" s="266"/>
      <c r="H366" s="243"/>
      <c r="I366" s="182"/>
      <c r="J366" s="182"/>
      <c r="K366" s="182"/>
      <c r="L366" s="231"/>
      <c r="M366" s="230"/>
      <c r="N366" s="217"/>
    </row>
    <row r="367" spans="1:14" ht="18" x14ac:dyDescent="0.3">
      <c r="A367" s="624"/>
      <c r="B367" s="182"/>
      <c r="C367" s="182"/>
      <c r="D367" s="241" t="str">
        <f t="shared" ref="D367:D380" si="80">D324</f>
        <v>Les Boissons  Gâteries</v>
      </c>
      <c r="E367" s="245"/>
      <c r="F367" s="245"/>
      <c r="G367" s="266"/>
      <c r="H367" s="243"/>
      <c r="I367" s="182"/>
      <c r="J367" s="182"/>
      <c r="K367" s="182"/>
      <c r="L367" s="231"/>
      <c r="M367" s="230"/>
      <c r="N367" s="217"/>
    </row>
    <row r="368" spans="1:14" ht="18" x14ac:dyDescent="0.3">
      <c r="A368" s="624"/>
      <c r="B368" s="182">
        <f t="shared" ref="B368:C379" si="81">B325</f>
        <v>13</v>
      </c>
      <c r="C368" s="182">
        <f t="shared" si="81"/>
        <v>1</v>
      </c>
      <c r="D368" s="182" t="str">
        <f t="shared" si="80"/>
        <v>Boisson spécial numéro 1</v>
      </c>
      <c r="E368" s="268">
        <f t="shared" ref="E368:F379" si="82">E325</f>
        <v>2.2799999999999998</v>
      </c>
      <c r="F368" s="267">
        <f t="shared" si="82"/>
        <v>6.6</v>
      </c>
      <c r="G368" s="266">
        <f t="shared" ref="G368:G380" si="83">E368/F368</f>
        <v>0.34545454545454546</v>
      </c>
      <c r="H368" s="265">
        <f t="shared" ref="H368:H380" si="84">F368-E368</f>
        <v>4.32</v>
      </c>
      <c r="I368" s="264"/>
      <c r="J368" s="182"/>
      <c r="K368" s="182"/>
      <c r="L368" s="231"/>
      <c r="M368" s="230"/>
      <c r="N368" s="217"/>
    </row>
    <row r="369" spans="1:14" ht="18" x14ac:dyDescent="0.3">
      <c r="A369" s="624"/>
      <c r="B369" s="182">
        <f t="shared" si="81"/>
        <v>14</v>
      </c>
      <c r="C369" s="182">
        <f t="shared" si="81"/>
        <v>2</v>
      </c>
      <c r="D369" s="182" t="str">
        <f t="shared" si="80"/>
        <v>Boisson spécial numéro 2</v>
      </c>
      <c r="E369" s="268">
        <f t="shared" si="82"/>
        <v>2.66</v>
      </c>
      <c r="F369" s="267">
        <f t="shared" si="82"/>
        <v>7.6</v>
      </c>
      <c r="G369" s="266">
        <f t="shared" si="83"/>
        <v>0.35000000000000003</v>
      </c>
      <c r="H369" s="265">
        <f t="shared" si="84"/>
        <v>4.9399999999999995</v>
      </c>
      <c r="I369" s="264"/>
      <c r="J369" s="182"/>
      <c r="K369" s="182"/>
      <c r="L369" s="231"/>
      <c r="M369" s="230"/>
      <c r="N369" s="217"/>
    </row>
    <row r="370" spans="1:14" ht="18" x14ac:dyDescent="0.3">
      <c r="A370" s="624"/>
      <c r="B370" s="182">
        <f t="shared" si="81"/>
        <v>15</v>
      </c>
      <c r="C370" s="182">
        <f t="shared" si="81"/>
        <v>3</v>
      </c>
      <c r="D370" s="182" t="str">
        <f t="shared" si="80"/>
        <v>Boisson spécial numéro 3</v>
      </c>
      <c r="E370" s="268">
        <f t="shared" si="82"/>
        <v>2.74</v>
      </c>
      <c r="F370" s="267">
        <f t="shared" si="82"/>
        <v>8</v>
      </c>
      <c r="G370" s="266">
        <f t="shared" si="83"/>
        <v>0.34250000000000003</v>
      </c>
      <c r="H370" s="265">
        <f t="shared" si="84"/>
        <v>5.26</v>
      </c>
      <c r="I370" s="264"/>
      <c r="J370" s="182"/>
      <c r="K370" s="182"/>
      <c r="L370" s="231"/>
      <c r="M370" s="230"/>
      <c r="N370" s="217"/>
    </row>
    <row r="371" spans="1:14" ht="18" x14ac:dyDescent="0.3">
      <c r="A371" s="624"/>
      <c r="B371" s="182">
        <f t="shared" si="81"/>
        <v>16</v>
      </c>
      <c r="C371" s="182">
        <f t="shared" si="81"/>
        <v>4</v>
      </c>
      <c r="D371" s="182" t="str">
        <f t="shared" si="80"/>
        <v>Boisson spécial numéro 4</v>
      </c>
      <c r="E371" s="268">
        <f t="shared" si="82"/>
        <v>2.72</v>
      </c>
      <c r="F371" s="267">
        <f t="shared" si="82"/>
        <v>9</v>
      </c>
      <c r="G371" s="266">
        <f t="shared" si="83"/>
        <v>0.30222222222222223</v>
      </c>
      <c r="H371" s="265">
        <f t="shared" si="84"/>
        <v>6.2799999999999994</v>
      </c>
      <c r="I371" s="264"/>
      <c r="J371" s="182"/>
      <c r="K371" s="182"/>
      <c r="L371" s="231"/>
      <c r="M371" s="230"/>
      <c r="N371" s="217"/>
    </row>
    <row r="372" spans="1:14" ht="18" x14ac:dyDescent="0.3">
      <c r="A372" s="624"/>
      <c r="B372" s="182">
        <f t="shared" si="81"/>
        <v>17</v>
      </c>
      <c r="C372" s="182">
        <f t="shared" si="81"/>
        <v>5</v>
      </c>
      <c r="D372" s="182" t="str">
        <f t="shared" si="80"/>
        <v>Boisson spécial numéro 5</v>
      </c>
      <c r="E372" s="268">
        <f t="shared" si="82"/>
        <v>2.76</v>
      </c>
      <c r="F372" s="267">
        <f t="shared" si="82"/>
        <v>9.1999999999999993</v>
      </c>
      <c r="G372" s="266">
        <f t="shared" si="83"/>
        <v>0.3</v>
      </c>
      <c r="H372" s="265">
        <f t="shared" si="84"/>
        <v>6.4399999999999995</v>
      </c>
      <c r="I372" s="264"/>
      <c r="J372" s="182"/>
      <c r="K372" s="182"/>
      <c r="L372" s="231"/>
      <c r="M372" s="230"/>
      <c r="N372" s="217"/>
    </row>
    <row r="373" spans="1:14" ht="18" x14ac:dyDescent="0.3">
      <c r="A373" s="624"/>
      <c r="B373" s="182">
        <f t="shared" si="81"/>
        <v>18</v>
      </c>
      <c r="C373" s="182">
        <f t="shared" si="81"/>
        <v>6</v>
      </c>
      <c r="D373" s="182" t="str">
        <f t="shared" si="80"/>
        <v>Boisson spécial numéro 6</v>
      </c>
      <c r="E373" s="268">
        <f t="shared" si="82"/>
        <v>2.8</v>
      </c>
      <c r="F373" s="267">
        <f t="shared" si="82"/>
        <v>9.4</v>
      </c>
      <c r="G373" s="266">
        <f t="shared" si="83"/>
        <v>0.2978723404255319</v>
      </c>
      <c r="H373" s="265">
        <f t="shared" si="84"/>
        <v>6.6000000000000005</v>
      </c>
      <c r="I373" s="264"/>
      <c r="J373" s="182"/>
      <c r="K373" s="182"/>
      <c r="L373" s="231"/>
      <c r="M373" s="230"/>
      <c r="N373" s="217"/>
    </row>
    <row r="374" spans="1:14" ht="18" x14ac:dyDescent="0.3">
      <c r="A374" s="624"/>
      <c r="B374" s="182">
        <f t="shared" si="81"/>
        <v>19</v>
      </c>
      <c r="C374" s="182">
        <f t="shared" si="81"/>
        <v>7</v>
      </c>
      <c r="D374" s="182" t="str">
        <f t="shared" si="80"/>
        <v>Boisson spécial numéro 7</v>
      </c>
      <c r="E374" s="268">
        <f t="shared" si="82"/>
        <v>2.82</v>
      </c>
      <c r="F374" s="267">
        <f t="shared" si="82"/>
        <v>9.6</v>
      </c>
      <c r="G374" s="266">
        <f t="shared" si="83"/>
        <v>0.29375000000000001</v>
      </c>
      <c r="H374" s="265">
        <f t="shared" si="84"/>
        <v>6.7799999999999994</v>
      </c>
      <c r="I374" s="264"/>
      <c r="J374" s="182"/>
      <c r="K374" s="182"/>
      <c r="L374" s="231"/>
      <c r="M374" s="230"/>
      <c r="N374" s="217"/>
    </row>
    <row r="375" spans="1:14" ht="18" x14ac:dyDescent="0.3">
      <c r="A375" s="624"/>
      <c r="B375" s="182">
        <f t="shared" si="81"/>
        <v>20</v>
      </c>
      <c r="C375" s="182">
        <f t="shared" si="81"/>
        <v>8</v>
      </c>
      <c r="D375" s="182" t="str">
        <f t="shared" si="80"/>
        <v>Boisson spécial numéro 8</v>
      </c>
      <c r="E375" s="268">
        <f t="shared" si="82"/>
        <v>2.86</v>
      </c>
      <c r="F375" s="267">
        <f t="shared" si="82"/>
        <v>9.8000000000000007</v>
      </c>
      <c r="G375" s="266">
        <f t="shared" si="83"/>
        <v>0.2918367346938775</v>
      </c>
      <c r="H375" s="265">
        <f t="shared" si="84"/>
        <v>6.9400000000000013</v>
      </c>
      <c r="I375" s="264"/>
      <c r="J375" s="182"/>
      <c r="K375" s="182"/>
      <c r="L375" s="231"/>
      <c r="M375" s="230"/>
      <c r="N375" s="217"/>
    </row>
    <row r="376" spans="1:14" ht="18" x14ac:dyDescent="0.3">
      <c r="A376" s="624"/>
      <c r="B376" s="182">
        <f t="shared" si="81"/>
        <v>21</v>
      </c>
      <c r="C376" s="182">
        <f t="shared" si="81"/>
        <v>9</v>
      </c>
      <c r="D376" s="182" t="str">
        <f t="shared" si="80"/>
        <v>Boisson spécial numéro 9</v>
      </c>
      <c r="E376" s="268">
        <f t="shared" si="82"/>
        <v>2.9</v>
      </c>
      <c r="F376" s="267">
        <f t="shared" si="82"/>
        <v>10</v>
      </c>
      <c r="G376" s="266">
        <f t="shared" si="83"/>
        <v>0.28999999999999998</v>
      </c>
      <c r="H376" s="265">
        <f t="shared" si="84"/>
        <v>7.1</v>
      </c>
      <c r="I376" s="264"/>
      <c r="J376" s="182"/>
      <c r="K376" s="182"/>
      <c r="L376" s="231"/>
      <c r="M376" s="230"/>
      <c r="N376" s="217"/>
    </row>
    <row r="377" spans="1:14" ht="18" x14ac:dyDescent="0.3">
      <c r="A377" s="624"/>
      <c r="B377" s="182">
        <f t="shared" si="81"/>
        <v>22</v>
      </c>
      <c r="C377" s="182">
        <f t="shared" si="81"/>
        <v>10</v>
      </c>
      <c r="D377" s="182" t="str">
        <f t="shared" si="80"/>
        <v>Boisson spécial numéro 10</v>
      </c>
      <c r="E377" s="268">
        <f t="shared" si="82"/>
        <v>2.98</v>
      </c>
      <c r="F377" s="267">
        <f t="shared" si="82"/>
        <v>10.4</v>
      </c>
      <c r="G377" s="266">
        <f t="shared" si="83"/>
        <v>0.28653846153846152</v>
      </c>
      <c r="H377" s="265">
        <f t="shared" si="84"/>
        <v>7.42</v>
      </c>
      <c r="I377" s="264"/>
      <c r="J377" s="182"/>
      <c r="K377" s="182"/>
      <c r="L377" s="231"/>
      <c r="M377" s="230"/>
      <c r="N377" s="217"/>
    </row>
    <row r="378" spans="1:14" ht="18" x14ac:dyDescent="0.3">
      <c r="A378" s="624"/>
      <c r="B378" s="182">
        <f t="shared" si="81"/>
        <v>23</v>
      </c>
      <c r="C378" s="182">
        <f t="shared" si="81"/>
        <v>11</v>
      </c>
      <c r="D378" s="182" t="str">
        <f t="shared" si="80"/>
        <v>Boisson spécial numéro 11</v>
      </c>
      <c r="E378" s="268">
        <f t="shared" si="82"/>
        <v>3.18</v>
      </c>
      <c r="F378" s="267">
        <f t="shared" si="82"/>
        <v>11.6</v>
      </c>
      <c r="G378" s="266">
        <f t="shared" si="83"/>
        <v>0.27413793103448281</v>
      </c>
      <c r="H378" s="265">
        <f t="shared" si="84"/>
        <v>8.42</v>
      </c>
      <c r="I378" s="264"/>
      <c r="J378" s="182"/>
      <c r="K378" s="182"/>
      <c r="L378" s="231"/>
      <c r="M378" s="230"/>
      <c r="N378" s="217"/>
    </row>
    <row r="379" spans="1:14" ht="18" x14ac:dyDescent="0.3">
      <c r="A379" s="624"/>
      <c r="B379" s="182">
        <f t="shared" si="81"/>
        <v>24</v>
      </c>
      <c r="C379" s="182">
        <f t="shared" si="81"/>
        <v>12</v>
      </c>
      <c r="D379" s="182" t="str">
        <f t="shared" si="80"/>
        <v>Boisson spécial numéro 12</v>
      </c>
      <c r="E379" s="268">
        <f t="shared" si="82"/>
        <v>3.48</v>
      </c>
      <c r="F379" s="267">
        <f t="shared" si="82"/>
        <v>13.2</v>
      </c>
      <c r="G379" s="266">
        <f t="shared" si="83"/>
        <v>0.26363636363636367</v>
      </c>
      <c r="H379" s="265">
        <f t="shared" si="84"/>
        <v>9.7199999999999989</v>
      </c>
      <c r="I379" s="264"/>
      <c r="J379" s="182"/>
      <c r="K379" s="182"/>
      <c r="L379" s="231"/>
      <c r="M379" s="230"/>
      <c r="N379" s="217"/>
    </row>
    <row r="380" spans="1:14" ht="19" x14ac:dyDescent="0.35">
      <c r="A380" s="624"/>
      <c r="B380" s="182"/>
      <c r="C380" s="182"/>
      <c r="D380" s="241" t="str">
        <f t="shared" si="80"/>
        <v>CmO—PmO—Beverage Cost—Marge brute</v>
      </c>
      <c r="E380" s="262">
        <f>SUM(E368:E379)/C379</f>
        <v>2.8483333333333332</v>
      </c>
      <c r="F380" s="262">
        <f>SUM(F368:F379)/C379</f>
        <v>9.5333333333333332</v>
      </c>
      <c r="G380" s="261">
        <f t="shared" si="83"/>
        <v>0.29877622377622376</v>
      </c>
      <c r="H380" s="260">
        <f t="shared" si="84"/>
        <v>6.6850000000000005</v>
      </c>
      <c r="I380" s="259"/>
      <c r="J380" s="182"/>
      <c r="K380" s="182"/>
      <c r="L380" s="291">
        <v>1</v>
      </c>
      <c r="M380" s="230" t="s">
        <v>1</v>
      </c>
      <c r="N380" s="217"/>
    </row>
    <row r="381" spans="1:14" ht="19" thickBot="1" x14ac:dyDescent="0.35">
      <c r="A381" s="624"/>
      <c r="B381" s="182"/>
      <c r="C381" s="182"/>
      <c r="D381" s="182"/>
      <c r="E381" s="245"/>
      <c r="F381" s="245"/>
      <c r="G381" s="244"/>
      <c r="H381" s="243"/>
      <c r="I381" s="182"/>
      <c r="J381" s="182"/>
      <c r="K381" s="182"/>
      <c r="L381" s="231"/>
      <c r="M381" s="230"/>
      <c r="N381" s="217"/>
    </row>
    <row r="382" spans="1:14" ht="21" thickTop="1" thickBot="1" x14ac:dyDescent="0.4">
      <c r="A382" s="624"/>
      <c r="B382" s="182"/>
      <c r="C382" s="256"/>
      <c r="D382" s="255"/>
      <c r="E382" s="254"/>
      <c r="F382" s="254"/>
      <c r="G382" s="253"/>
      <c r="H382" s="252"/>
      <c r="I382" s="251"/>
      <c r="J382" s="182"/>
      <c r="K382" s="182"/>
      <c r="L382" s="231"/>
      <c r="M382" s="230"/>
      <c r="N382" s="217"/>
    </row>
    <row r="383" spans="1:14" ht="20" thickTop="1" thickBot="1" x14ac:dyDescent="0.35">
      <c r="A383" s="624"/>
      <c r="B383" s="182"/>
      <c r="C383" s="236"/>
      <c r="D383" s="241"/>
      <c r="E383" s="250" t="str">
        <f>E340</f>
        <v>CmO</v>
      </c>
      <c r="F383" s="250" t="str">
        <f>F340</f>
        <v>PmO</v>
      </c>
      <c r="G383" s="249" t="str">
        <f>G340</f>
        <v>F&amp;BCmO</v>
      </c>
      <c r="H383" s="248" t="str">
        <f>H340</f>
        <v>BmO</v>
      </c>
      <c r="I383" s="247"/>
      <c r="J383" s="182"/>
      <c r="K383" s="182"/>
      <c r="L383" s="231"/>
      <c r="M383" s="230"/>
      <c r="N383" s="217"/>
    </row>
    <row r="384" spans="1:14" ht="19" thickTop="1" x14ac:dyDescent="0.3">
      <c r="A384" s="624"/>
      <c r="B384" s="182"/>
      <c r="C384" s="236"/>
      <c r="D384" s="246" t="str">
        <f>D341</f>
        <v>OFFRE TOTALE AVEC LES GÂTERIES ET LES CAFÉS GÂTERIES</v>
      </c>
      <c r="E384" s="245"/>
      <c r="F384" s="245"/>
      <c r="G384" s="244"/>
      <c r="H384" s="243"/>
      <c r="I384" s="242"/>
      <c r="J384" s="182"/>
      <c r="K384" s="182"/>
      <c r="L384" s="231"/>
      <c r="M384" s="230"/>
      <c r="N384" s="217"/>
    </row>
    <row r="385" spans="1:14" ht="19" x14ac:dyDescent="0.35">
      <c r="A385" s="624"/>
      <c r="B385" s="182"/>
      <c r="C385" s="236"/>
      <c r="D385" s="241" t="str">
        <f>D342</f>
        <v>CmO—PmO—F&amp;B cost moyen offert—Marge brute</v>
      </c>
      <c r="E385" s="240">
        <f>+(E353+E354+E355+E356+E357+E358+E359+E360+E361+E362+E363+E364+E368+E369+E370+E371+E372+E373+E374+E375+E376+E377+E378+E379)/B379</f>
        <v>2.1649999999999996</v>
      </c>
      <c r="F385" s="240">
        <f>+(F353+F354+F355+F356+F357+F358+F359+F360+F361+F362+F363+F364+F368+F369+F370+F371+F372+F373+F374+F375+F376+F377+F378+F379)/B379</f>
        <v>7.1749999999999998</v>
      </c>
      <c r="G385" s="239">
        <f>E385/F385</f>
        <v>0.30174216027874562</v>
      </c>
      <c r="H385" s="238">
        <f>F385-E385</f>
        <v>5.01</v>
      </c>
      <c r="I385" s="237"/>
      <c r="J385" s="182"/>
      <c r="K385" s="182"/>
      <c r="L385" s="231">
        <f>L342</f>
        <v>2</v>
      </c>
      <c r="M385" s="230">
        <f>'% Occupation'!L19</f>
        <v>196</v>
      </c>
      <c r="N385" s="217"/>
    </row>
    <row r="386" spans="1:14" ht="18" x14ac:dyDescent="0.3">
      <c r="A386" s="624"/>
      <c r="B386" s="182"/>
      <c r="C386" s="236"/>
      <c r="D386" s="182"/>
      <c r="E386" s="235"/>
      <c r="F386" s="235"/>
      <c r="G386" s="234"/>
      <c r="H386" s="233"/>
      <c r="I386" s="232"/>
      <c r="J386" s="182"/>
      <c r="K386" s="182"/>
      <c r="L386" s="231"/>
      <c r="M386" s="230"/>
      <c r="N386" s="217"/>
    </row>
    <row r="387" spans="1:14" ht="19" thickBot="1" x14ac:dyDescent="0.35">
      <c r="A387" s="624"/>
      <c r="B387" s="182"/>
      <c r="C387" s="229"/>
      <c r="D387" s="228"/>
      <c r="E387" s="227"/>
      <c r="F387" s="227"/>
      <c r="G387" s="226"/>
      <c r="H387" s="225"/>
      <c r="I387" s="224"/>
      <c r="J387" s="182"/>
      <c r="K387" s="182"/>
      <c r="L387" s="223"/>
      <c r="M387" s="222"/>
      <c r="N387" s="217"/>
    </row>
    <row r="388" spans="1:14" ht="19" thickTop="1" x14ac:dyDescent="0.3">
      <c r="A388" s="624"/>
      <c r="L388" s="220"/>
      <c r="M388" s="218"/>
      <c r="N388" s="217"/>
    </row>
    <row r="389" spans="1:14" ht="23" x14ac:dyDescent="0.3">
      <c r="A389" s="624"/>
      <c r="D389" s="287" t="s">
        <v>89</v>
      </c>
      <c r="F389" s="283"/>
      <c r="L389" s="220"/>
      <c r="M389" s="218"/>
      <c r="N389" s="217"/>
    </row>
    <row r="390" spans="1:14" ht="24" thickBot="1" x14ac:dyDescent="0.35">
      <c r="A390" s="624"/>
      <c r="D390" s="285"/>
      <c r="L390" s="220"/>
      <c r="M390" s="218"/>
      <c r="N390" s="217"/>
    </row>
    <row r="391" spans="1:14" ht="23" customHeight="1" thickTop="1" x14ac:dyDescent="0.25">
      <c r="A391" s="624"/>
      <c r="D391" s="285"/>
      <c r="E391" s="604" t="str">
        <f>E348</f>
        <v>Coûts des ressources alimentaires pour chaque produit offert (voir recettes standardisées)</v>
      </c>
      <c r="F391" s="604" t="str">
        <f>F348</f>
        <v>Prix de vente par produit offert</v>
      </c>
      <c r="G391" s="604" t="str">
        <f>G348</f>
        <v xml:space="preserve">« Food &amp; Beverage Cost » </v>
      </c>
      <c r="H391" s="604" t="str">
        <f>H348</f>
        <v>Marge brute gagnée sur la vente de chaque produit offert</v>
      </c>
      <c r="I391" s="286"/>
      <c r="L391" s="613" t="s">
        <v>84</v>
      </c>
      <c r="M391" s="613" t="s">
        <v>83</v>
      </c>
      <c r="N391" s="217"/>
    </row>
    <row r="392" spans="1:14" ht="22" x14ac:dyDescent="0.25">
      <c r="A392" s="624"/>
      <c r="D392" s="285"/>
      <c r="E392" s="605"/>
      <c r="F392" s="607"/>
      <c r="G392" s="607"/>
      <c r="H392" s="607"/>
      <c r="I392" s="284"/>
      <c r="L392" s="614"/>
      <c r="M392" s="616"/>
      <c r="N392" s="217"/>
    </row>
    <row r="393" spans="1:14" ht="14" customHeight="1" thickBot="1" x14ac:dyDescent="0.25">
      <c r="A393" s="624"/>
      <c r="E393" s="606"/>
      <c r="F393" s="608"/>
      <c r="G393" s="608"/>
      <c r="H393" s="608"/>
      <c r="I393" s="284"/>
      <c r="L393" s="615"/>
      <c r="M393" s="617"/>
      <c r="N393" s="217"/>
    </row>
    <row r="394" spans="1:14" ht="20" thickTop="1" thickBot="1" x14ac:dyDescent="0.35">
      <c r="A394" s="624"/>
      <c r="B394" s="149" t="s">
        <v>1</v>
      </c>
      <c r="E394" s="283"/>
      <c r="F394" s="283"/>
      <c r="G394" s="282"/>
      <c r="L394" s="220"/>
      <c r="M394" s="218"/>
      <c r="N394" s="217"/>
    </row>
    <row r="395" spans="1:14" ht="19" thickTop="1" x14ac:dyDescent="0.3">
      <c r="A395" s="624"/>
      <c r="B395" s="182"/>
      <c r="C395" s="182"/>
      <c r="D395" s="241" t="str">
        <f t="shared" ref="D395:D408" si="85">D352</f>
        <v>Les Petite Gâteries</v>
      </c>
      <c r="E395" s="264"/>
      <c r="F395" s="264"/>
      <c r="G395" s="244"/>
      <c r="H395" s="182"/>
      <c r="I395" s="182"/>
      <c r="J395" s="182"/>
      <c r="K395" s="182"/>
      <c r="L395" s="281"/>
      <c r="M395" s="280"/>
      <c r="N395" s="217"/>
    </row>
    <row r="396" spans="1:14" ht="18" x14ac:dyDescent="0.3">
      <c r="A396" s="624"/>
      <c r="B396" s="182">
        <f t="shared" ref="B396:C407" si="86">B353</f>
        <v>1</v>
      </c>
      <c r="C396" s="182">
        <f t="shared" si="86"/>
        <v>1</v>
      </c>
      <c r="D396" s="182" t="str">
        <f t="shared" si="85"/>
        <v>Petite Gâterie 1</v>
      </c>
      <c r="E396" s="268">
        <f t="shared" ref="E396:F407" si="87">E353</f>
        <v>1.21</v>
      </c>
      <c r="F396" s="276">
        <f t="shared" si="87"/>
        <v>3.3</v>
      </c>
      <c r="G396" s="266">
        <f t="shared" ref="G396:G408" si="88">E396/F396</f>
        <v>0.3666666666666667</v>
      </c>
      <c r="H396" s="265">
        <f t="shared" ref="H396:H408" si="89">F396-E396</f>
        <v>2.09</v>
      </c>
      <c r="I396" s="264">
        <f>F396</f>
        <v>3.3</v>
      </c>
      <c r="J396" s="618">
        <f>3/12</f>
        <v>0.25</v>
      </c>
      <c r="K396" s="269"/>
      <c r="L396" s="279"/>
      <c r="M396" s="230"/>
      <c r="N396" s="217"/>
    </row>
    <row r="397" spans="1:14" ht="18" x14ac:dyDescent="0.3">
      <c r="A397" s="624"/>
      <c r="B397" s="182">
        <f t="shared" si="86"/>
        <v>2</v>
      </c>
      <c r="C397" s="182">
        <f t="shared" si="86"/>
        <v>2</v>
      </c>
      <c r="D397" s="182" t="str">
        <f t="shared" si="85"/>
        <v>Petite Gâterie 2</v>
      </c>
      <c r="E397" s="268">
        <f t="shared" si="87"/>
        <v>1.31</v>
      </c>
      <c r="F397" s="267">
        <f t="shared" si="87"/>
        <v>3.8</v>
      </c>
      <c r="G397" s="266">
        <f t="shared" si="88"/>
        <v>0.34473684210526317</v>
      </c>
      <c r="H397" s="265">
        <f t="shared" si="89"/>
        <v>2.4899999999999998</v>
      </c>
      <c r="I397" s="264"/>
      <c r="J397" s="610"/>
      <c r="K397" s="263"/>
      <c r="L397" s="231"/>
      <c r="M397" s="230"/>
      <c r="N397" s="217"/>
    </row>
    <row r="398" spans="1:14" ht="19" thickBot="1" x14ac:dyDescent="0.35">
      <c r="A398" s="624"/>
      <c r="B398" s="275">
        <f t="shared" si="86"/>
        <v>3</v>
      </c>
      <c r="C398" s="275">
        <f t="shared" si="86"/>
        <v>3</v>
      </c>
      <c r="D398" s="275" t="str">
        <f t="shared" si="85"/>
        <v>Petite Gâterie 3</v>
      </c>
      <c r="E398" s="274">
        <f t="shared" si="87"/>
        <v>1.35</v>
      </c>
      <c r="F398" s="273">
        <f t="shared" si="87"/>
        <v>4</v>
      </c>
      <c r="G398" s="272">
        <f t="shared" si="88"/>
        <v>0.33750000000000002</v>
      </c>
      <c r="H398" s="271">
        <f t="shared" si="89"/>
        <v>2.65</v>
      </c>
      <c r="I398" s="270">
        <f>+I396+1.066667</f>
        <v>4.3666669999999996</v>
      </c>
      <c r="J398" s="619"/>
      <c r="K398" s="263"/>
      <c r="L398" s="231"/>
      <c r="M398" s="230"/>
      <c r="N398" s="217"/>
    </row>
    <row r="399" spans="1:14" ht="18" x14ac:dyDescent="0.3">
      <c r="A399" s="624"/>
      <c r="B399" s="182">
        <f t="shared" si="86"/>
        <v>4</v>
      </c>
      <c r="C399" s="182">
        <f t="shared" si="86"/>
        <v>4</v>
      </c>
      <c r="D399" s="182" t="str">
        <f t="shared" si="85"/>
        <v>Petite Gâterie 4</v>
      </c>
      <c r="E399" s="268">
        <f t="shared" si="87"/>
        <v>1.4</v>
      </c>
      <c r="F399" s="267">
        <f t="shared" si="87"/>
        <v>4.5</v>
      </c>
      <c r="G399" s="266">
        <f t="shared" si="88"/>
        <v>0.31111111111111112</v>
      </c>
      <c r="H399" s="265">
        <f t="shared" si="89"/>
        <v>3.1</v>
      </c>
      <c r="I399" s="264">
        <f>+I398+0.01</f>
        <v>4.3766669999999994</v>
      </c>
      <c r="J399" s="609">
        <f>7/12</f>
        <v>0.58333333333333337</v>
      </c>
      <c r="K399" s="269"/>
      <c r="L399" s="231"/>
      <c r="M399" s="230"/>
      <c r="N399" s="217"/>
    </row>
    <row r="400" spans="1:14" ht="18" x14ac:dyDescent="0.3">
      <c r="A400" s="624"/>
      <c r="B400" s="182">
        <f t="shared" si="86"/>
        <v>5</v>
      </c>
      <c r="C400" s="182">
        <f t="shared" si="86"/>
        <v>5</v>
      </c>
      <c r="D400" s="182" t="str">
        <f t="shared" si="85"/>
        <v>Petite Gâterie 5</v>
      </c>
      <c r="E400" s="268">
        <f t="shared" si="87"/>
        <v>1.24</v>
      </c>
      <c r="F400" s="267">
        <f t="shared" si="87"/>
        <v>4.5999999999999996</v>
      </c>
      <c r="G400" s="266">
        <f t="shared" si="88"/>
        <v>0.26956521739130435</v>
      </c>
      <c r="H400" s="265">
        <f t="shared" si="89"/>
        <v>3.3599999999999994</v>
      </c>
      <c r="I400" s="264"/>
      <c r="J400" s="610"/>
      <c r="K400" s="263"/>
      <c r="L400" s="231"/>
      <c r="M400" s="230"/>
      <c r="N400" s="217"/>
    </row>
    <row r="401" spans="1:14" ht="18" x14ac:dyDescent="0.3">
      <c r="A401" s="624"/>
      <c r="B401" s="182">
        <f t="shared" si="86"/>
        <v>6</v>
      </c>
      <c r="C401" s="182">
        <f t="shared" si="86"/>
        <v>6</v>
      </c>
      <c r="D401" s="182" t="str">
        <f t="shared" si="85"/>
        <v>Petite Gâterie 6</v>
      </c>
      <c r="E401" s="268">
        <f t="shared" si="87"/>
        <v>1.39</v>
      </c>
      <c r="F401" s="267">
        <f t="shared" si="87"/>
        <v>4.7</v>
      </c>
      <c r="G401" s="266">
        <f t="shared" si="88"/>
        <v>0.29574468085106381</v>
      </c>
      <c r="H401" s="265">
        <f t="shared" si="89"/>
        <v>3.3100000000000005</v>
      </c>
      <c r="I401" s="264"/>
      <c r="J401" s="610"/>
      <c r="K401" s="263"/>
      <c r="L401" s="231"/>
      <c r="M401" s="230"/>
      <c r="N401" s="217"/>
    </row>
    <row r="402" spans="1:14" ht="18" x14ac:dyDescent="0.3">
      <c r="A402" s="624"/>
      <c r="B402" s="182">
        <f t="shared" si="86"/>
        <v>7</v>
      </c>
      <c r="C402" s="182">
        <f t="shared" si="86"/>
        <v>7</v>
      </c>
      <c r="D402" s="182" t="str">
        <f t="shared" si="85"/>
        <v>Petite Gâterie 7</v>
      </c>
      <c r="E402" s="268">
        <f t="shared" si="87"/>
        <v>1.51</v>
      </c>
      <c r="F402" s="267">
        <f t="shared" si="87"/>
        <v>4.8</v>
      </c>
      <c r="G402" s="266">
        <f t="shared" si="88"/>
        <v>0.31458333333333333</v>
      </c>
      <c r="H402" s="265">
        <f t="shared" si="89"/>
        <v>3.29</v>
      </c>
      <c r="I402" s="264"/>
      <c r="J402" s="610"/>
      <c r="K402" s="263"/>
      <c r="L402" s="231"/>
      <c r="M402" s="230"/>
      <c r="N402" s="217"/>
    </row>
    <row r="403" spans="1:14" ht="18" x14ac:dyDescent="0.3">
      <c r="A403" s="624"/>
      <c r="B403" s="182">
        <f t="shared" si="86"/>
        <v>8</v>
      </c>
      <c r="C403" s="182">
        <f t="shared" si="86"/>
        <v>8</v>
      </c>
      <c r="D403" s="182" t="str">
        <f t="shared" si="85"/>
        <v>Petite Gâterie 8</v>
      </c>
      <c r="E403" s="268">
        <f t="shared" si="87"/>
        <v>1.53</v>
      </c>
      <c r="F403" s="267">
        <f t="shared" si="87"/>
        <v>4.9000000000000004</v>
      </c>
      <c r="G403" s="266">
        <f t="shared" si="88"/>
        <v>0.31224489795918364</v>
      </c>
      <c r="H403" s="265">
        <f t="shared" si="89"/>
        <v>3.37</v>
      </c>
      <c r="I403" s="264"/>
      <c r="J403" s="610"/>
      <c r="K403" s="263"/>
      <c r="L403" s="231"/>
      <c r="M403" s="230"/>
      <c r="N403" s="217"/>
    </row>
    <row r="404" spans="1:14" ht="18" x14ac:dyDescent="0.3">
      <c r="A404" s="624"/>
      <c r="B404" s="182">
        <f t="shared" si="86"/>
        <v>9</v>
      </c>
      <c r="C404" s="182">
        <f t="shared" si="86"/>
        <v>9</v>
      </c>
      <c r="D404" s="182" t="str">
        <f t="shared" si="85"/>
        <v>Petite Gâterie 9</v>
      </c>
      <c r="E404" s="268">
        <f t="shared" si="87"/>
        <v>1.55</v>
      </c>
      <c r="F404" s="267">
        <f t="shared" si="87"/>
        <v>5</v>
      </c>
      <c r="G404" s="266">
        <f t="shared" si="88"/>
        <v>0.31</v>
      </c>
      <c r="H404" s="265">
        <f t="shared" si="89"/>
        <v>3.45</v>
      </c>
      <c r="I404" s="264"/>
      <c r="J404" s="610"/>
      <c r="K404" s="263"/>
      <c r="L404" s="231"/>
      <c r="M404" s="230"/>
      <c r="N404" s="217"/>
    </row>
    <row r="405" spans="1:14" ht="19" thickBot="1" x14ac:dyDescent="0.35">
      <c r="A405" s="624"/>
      <c r="B405" s="275">
        <f t="shared" si="86"/>
        <v>10</v>
      </c>
      <c r="C405" s="275">
        <f t="shared" si="86"/>
        <v>10</v>
      </c>
      <c r="D405" s="275" t="str">
        <f t="shared" si="85"/>
        <v>Petite Gâterie 10</v>
      </c>
      <c r="E405" s="274">
        <f t="shared" si="87"/>
        <v>1.59</v>
      </c>
      <c r="F405" s="273">
        <f t="shared" si="87"/>
        <v>5.2</v>
      </c>
      <c r="G405" s="272">
        <f t="shared" si="88"/>
        <v>0.30576923076923079</v>
      </c>
      <c r="H405" s="271">
        <f t="shared" si="89"/>
        <v>3.6100000000000003</v>
      </c>
      <c r="I405" s="270">
        <f>+I398+1.066667</f>
        <v>5.4333339999999994</v>
      </c>
      <c r="J405" s="619"/>
      <c r="K405" s="263"/>
      <c r="L405" s="231"/>
      <c r="M405" s="230"/>
      <c r="N405" s="217"/>
    </row>
    <row r="406" spans="1:14" ht="18" x14ac:dyDescent="0.3">
      <c r="A406" s="624"/>
      <c r="B406" s="182">
        <f t="shared" si="86"/>
        <v>11</v>
      </c>
      <c r="C406" s="182">
        <f t="shared" si="86"/>
        <v>11</v>
      </c>
      <c r="D406" s="182" t="str">
        <f t="shared" si="85"/>
        <v>Petite Gâterie 11</v>
      </c>
      <c r="E406" s="268">
        <f t="shared" si="87"/>
        <v>1.83</v>
      </c>
      <c r="F406" s="267">
        <f t="shared" si="87"/>
        <v>6.4</v>
      </c>
      <c r="G406" s="266">
        <f t="shared" si="88"/>
        <v>0.28593750000000001</v>
      </c>
      <c r="H406" s="265">
        <f t="shared" si="89"/>
        <v>4.57</v>
      </c>
      <c r="I406" s="264">
        <f>+I405+0.01</f>
        <v>5.4433339999999992</v>
      </c>
      <c r="J406" s="609">
        <f>2/12</f>
        <v>0.16666666666666666</v>
      </c>
      <c r="K406" s="269"/>
      <c r="L406" s="231"/>
      <c r="M406" s="230"/>
      <c r="N406" s="217"/>
    </row>
    <row r="407" spans="1:14" ht="18" x14ac:dyDescent="0.3">
      <c r="A407" s="624"/>
      <c r="B407" s="182">
        <f t="shared" si="86"/>
        <v>12</v>
      </c>
      <c r="C407" s="182">
        <f t="shared" si="86"/>
        <v>12</v>
      </c>
      <c r="D407" s="182" t="str">
        <f t="shared" si="85"/>
        <v>Petite Gâterie 12</v>
      </c>
      <c r="E407" s="268">
        <f t="shared" si="87"/>
        <v>1.87</v>
      </c>
      <c r="F407" s="267">
        <f t="shared" si="87"/>
        <v>6.6</v>
      </c>
      <c r="G407" s="266">
        <f t="shared" si="88"/>
        <v>0.28333333333333338</v>
      </c>
      <c r="H407" s="265">
        <f t="shared" si="89"/>
        <v>4.7299999999999995</v>
      </c>
      <c r="I407" s="264">
        <f>F407</f>
        <v>6.6</v>
      </c>
      <c r="J407" s="610"/>
      <c r="K407" s="263"/>
      <c r="L407" s="231"/>
      <c r="M407" s="230"/>
      <c r="N407" s="217"/>
    </row>
    <row r="408" spans="1:14" ht="19" x14ac:dyDescent="0.35">
      <c r="A408" s="624"/>
      <c r="B408" s="182"/>
      <c r="C408" s="182"/>
      <c r="D408" s="241" t="str">
        <f t="shared" si="85"/>
        <v>CmO—PmO—Food Cost—BmO</v>
      </c>
      <c r="E408" s="262">
        <f>SUM(E396:E407)/C407</f>
        <v>1.4816666666666667</v>
      </c>
      <c r="F408" s="262">
        <f>SUM(F396:F407)/C407</f>
        <v>4.8166666666666673</v>
      </c>
      <c r="G408" s="277">
        <f t="shared" si="88"/>
        <v>0.30761245674740478</v>
      </c>
      <c r="H408" s="260">
        <f t="shared" si="89"/>
        <v>3.3350000000000009</v>
      </c>
      <c r="I408" s="259"/>
      <c r="J408" s="182"/>
      <c r="K408" s="182"/>
      <c r="L408" s="291">
        <v>1</v>
      </c>
      <c r="M408" s="230" t="s">
        <v>1</v>
      </c>
      <c r="N408" s="217"/>
    </row>
    <row r="409" spans="1:14" ht="18" x14ac:dyDescent="0.3">
      <c r="A409" s="624"/>
      <c r="B409" s="182" t="s">
        <v>1</v>
      </c>
      <c r="C409" s="182"/>
      <c r="D409" s="182"/>
      <c r="E409" s="245"/>
      <c r="F409" s="245"/>
      <c r="G409" s="266"/>
      <c r="H409" s="243"/>
      <c r="I409" s="264"/>
      <c r="J409" s="182"/>
      <c r="K409" s="182"/>
      <c r="L409" s="231"/>
      <c r="M409" s="230"/>
      <c r="N409" s="217"/>
    </row>
    <row r="410" spans="1:14" ht="18" x14ac:dyDescent="0.3">
      <c r="A410" s="624"/>
      <c r="B410" s="182"/>
      <c r="C410" s="182"/>
      <c r="D410" s="241" t="str">
        <f t="shared" ref="D410:D423" si="90">D367</f>
        <v>Les Boissons  Gâteries</v>
      </c>
      <c r="E410" s="245"/>
      <c r="F410" s="245"/>
      <c r="G410" s="266"/>
      <c r="H410" s="243"/>
      <c r="I410" s="264"/>
      <c r="J410" s="182"/>
      <c r="K410" s="182"/>
      <c r="L410" s="231"/>
      <c r="M410" s="230"/>
      <c r="N410" s="217"/>
    </row>
    <row r="411" spans="1:14" ht="18" x14ac:dyDescent="0.3">
      <c r="A411" s="624"/>
      <c r="B411" s="182">
        <f t="shared" ref="B411:C422" si="91">B368</f>
        <v>13</v>
      </c>
      <c r="C411" s="182">
        <f t="shared" si="91"/>
        <v>1</v>
      </c>
      <c r="D411" s="182" t="str">
        <f t="shared" si="90"/>
        <v>Boisson spécial numéro 1</v>
      </c>
      <c r="E411" s="268">
        <f t="shared" ref="E411:F422" si="92">E368</f>
        <v>2.2799999999999998</v>
      </c>
      <c r="F411" s="276">
        <f t="shared" si="92"/>
        <v>6.6</v>
      </c>
      <c r="G411" s="266">
        <f t="shared" ref="G411:G423" si="93">E411/F411</f>
        <v>0.34545454545454546</v>
      </c>
      <c r="H411" s="265">
        <f t="shared" ref="H411:H423" si="94">F411-E411</f>
        <v>4.32</v>
      </c>
      <c r="I411" s="264">
        <f>F411</f>
        <v>6.6</v>
      </c>
      <c r="J411" s="618">
        <f>3/12</f>
        <v>0.25</v>
      </c>
      <c r="K411" s="269"/>
      <c r="L411" s="231"/>
      <c r="M411" s="230"/>
      <c r="N411" s="217"/>
    </row>
    <row r="412" spans="1:14" ht="18" x14ac:dyDescent="0.3">
      <c r="A412" s="624"/>
      <c r="B412" s="182">
        <f t="shared" si="91"/>
        <v>14</v>
      </c>
      <c r="C412" s="182">
        <f t="shared" si="91"/>
        <v>2</v>
      </c>
      <c r="D412" s="182" t="str">
        <f t="shared" si="90"/>
        <v>Boisson spécial numéro 2</v>
      </c>
      <c r="E412" s="268">
        <f t="shared" si="92"/>
        <v>2.66</v>
      </c>
      <c r="F412" s="276">
        <f t="shared" si="92"/>
        <v>7.6</v>
      </c>
      <c r="G412" s="266">
        <f t="shared" si="93"/>
        <v>0.35000000000000003</v>
      </c>
      <c r="H412" s="265">
        <f t="shared" si="94"/>
        <v>4.9399999999999995</v>
      </c>
      <c r="I412" s="264"/>
      <c r="J412" s="610"/>
      <c r="K412" s="263"/>
      <c r="L412" s="231"/>
      <c r="M412" s="230"/>
      <c r="N412" s="217"/>
    </row>
    <row r="413" spans="1:14" ht="19" thickBot="1" x14ac:dyDescent="0.35">
      <c r="A413" s="624"/>
      <c r="B413" s="275">
        <f t="shared" si="91"/>
        <v>15</v>
      </c>
      <c r="C413" s="275">
        <f t="shared" si="91"/>
        <v>3</v>
      </c>
      <c r="D413" s="275" t="str">
        <f t="shared" si="90"/>
        <v>Boisson spécial numéro 3</v>
      </c>
      <c r="E413" s="274">
        <f t="shared" si="92"/>
        <v>2.74</v>
      </c>
      <c r="F413" s="278">
        <f t="shared" si="92"/>
        <v>8</v>
      </c>
      <c r="G413" s="272">
        <f t="shared" si="93"/>
        <v>0.34250000000000003</v>
      </c>
      <c r="H413" s="271">
        <f t="shared" si="94"/>
        <v>5.26</v>
      </c>
      <c r="I413" s="270">
        <f>+I411+2.1</f>
        <v>8.6999999999999993</v>
      </c>
      <c r="J413" s="619"/>
      <c r="K413" s="263"/>
      <c r="L413" s="231"/>
      <c r="M413" s="230"/>
      <c r="N413" s="217"/>
    </row>
    <row r="414" spans="1:14" ht="18" x14ac:dyDescent="0.3">
      <c r="A414" s="624"/>
      <c r="B414" s="182">
        <f t="shared" si="91"/>
        <v>16</v>
      </c>
      <c r="C414" s="182">
        <f t="shared" si="91"/>
        <v>4</v>
      </c>
      <c r="D414" s="182" t="str">
        <f t="shared" si="90"/>
        <v>Boisson spécial numéro 4</v>
      </c>
      <c r="E414" s="268">
        <f t="shared" si="92"/>
        <v>2.72</v>
      </c>
      <c r="F414" s="276">
        <f t="shared" si="92"/>
        <v>9</v>
      </c>
      <c r="G414" s="266">
        <f t="shared" si="93"/>
        <v>0.30222222222222223</v>
      </c>
      <c r="H414" s="265">
        <f t="shared" si="94"/>
        <v>6.2799999999999994</v>
      </c>
      <c r="I414" s="264">
        <f>+I413+0.01</f>
        <v>8.7099999999999991</v>
      </c>
      <c r="J414" s="618">
        <f>7/12</f>
        <v>0.58333333333333337</v>
      </c>
      <c r="K414" s="269"/>
      <c r="L414" s="231"/>
      <c r="M414" s="230"/>
      <c r="N414" s="217"/>
    </row>
    <row r="415" spans="1:14" ht="18" x14ac:dyDescent="0.3">
      <c r="A415" s="624"/>
      <c r="B415" s="182">
        <f t="shared" si="91"/>
        <v>17</v>
      </c>
      <c r="C415" s="182">
        <f t="shared" si="91"/>
        <v>5</v>
      </c>
      <c r="D415" s="182" t="str">
        <f t="shared" si="90"/>
        <v>Boisson spécial numéro 5</v>
      </c>
      <c r="E415" s="268">
        <f t="shared" si="92"/>
        <v>2.76</v>
      </c>
      <c r="F415" s="276">
        <f t="shared" si="92"/>
        <v>9.1999999999999993</v>
      </c>
      <c r="G415" s="266">
        <f t="shared" si="93"/>
        <v>0.3</v>
      </c>
      <c r="H415" s="265">
        <f t="shared" si="94"/>
        <v>6.4399999999999995</v>
      </c>
      <c r="I415" s="264"/>
      <c r="J415" s="610"/>
      <c r="K415" s="263"/>
      <c r="L415" s="231"/>
      <c r="M415" s="230"/>
      <c r="N415" s="217"/>
    </row>
    <row r="416" spans="1:14" ht="18" x14ac:dyDescent="0.3">
      <c r="A416" s="624"/>
      <c r="B416" s="182">
        <f t="shared" si="91"/>
        <v>18</v>
      </c>
      <c r="C416" s="182">
        <f t="shared" si="91"/>
        <v>6</v>
      </c>
      <c r="D416" s="182" t="str">
        <f t="shared" si="90"/>
        <v>Boisson spécial numéro 6</v>
      </c>
      <c r="E416" s="268">
        <f t="shared" si="92"/>
        <v>2.8</v>
      </c>
      <c r="F416" s="267">
        <f t="shared" si="92"/>
        <v>9.4</v>
      </c>
      <c r="G416" s="266">
        <f t="shared" si="93"/>
        <v>0.2978723404255319</v>
      </c>
      <c r="H416" s="265">
        <f t="shared" si="94"/>
        <v>6.6000000000000005</v>
      </c>
      <c r="I416" s="264"/>
      <c r="J416" s="610"/>
      <c r="K416" s="263"/>
      <c r="L416" s="231"/>
      <c r="M416" s="230"/>
      <c r="N416" s="217"/>
    </row>
    <row r="417" spans="1:14" ht="18" x14ac:dyDescent="0.3">
      <c r="A417" s="624"/>
      <c r="B417" s="182">
        <f t="shared" si="91"/>
        <v>19</v>
      </c>
      <c r="C417" s="182">
        <f t="shared" si="91"/>
        <v>7</v>
      </c>
      <c r="D417" s="182" t="str">
        <f t="shared" si="90"/>
        <v>Boisson spécial numéro 7</v>
      </c>
      <c r="E417" s="268">
        <f t="shared" si="92"/>
        <v>2.82</v>
      </c>
      <c r="F417" s="267">
        <f t="shared" si="92"/>
        <v>9.6</v>
      </c>
      <c r="G417" s="266">
        <f t="shared" si="93"/>
        <v>0.29375000000000001</v>
      </c>
      <c r="H417" s="265">
        <f t="shared" si="94"/>
        <v>6.7799999999999994</v>
      </c>
      <c r="I417" s="264"/>
      <c r="J417" s="610"/>
      <c r="K417" s="263"/>
      <c r="L417" s="231"/>
      <c r="M417" s="230"/>
      <c r="N417" s="217"/>
    </row>
    <row r="418" spans="1:14" ht="18" x14ac:dyDescent="0.3">
      <c r="A418" s="624"/>
      <c r="B418" s="182">
        <f t="shared" si="91"/>
        <v>20</v>
      </c>
      <c r="C418" s="182">
        <f t="shared" si="91"/>
        <v>8</v>
      </c>
      <c r="D418" s="182" t="str">
        <f t="shared" si="90"/>
        <v>Boisson spécial numéro 8</v>
      </c>
      <c r="E418" s="268">
        <f t="shared" si="92"/>
        <v>2.86</v>
      </c>
      <c r="F418" s="267">
        <f t="shared" si="92"/>
        <v>9.8000000000000007</v>
      </c>
      <c r="G418" s="266">
        <f t="shared" si="93"/>
        <v>0.2918367346938775</v>
      </c>
      <c r="H418" s="265">
        <f t="shared" si="94"/>
        <v>6.9400000000000013</v>
      </c>
      <c r="I418" s="264"/>
      <c r="J418" s="610"/>
      <c r="K418" s="263"/>
      <c r="L418" s="231"/>
      <c r="M418" s="230"/>
      <c r="N418" s="217"/>
    </row>
    <row r="419" spans="1:14" ht="18" x14ac:dyDescent="0.3">
      <c r="A419" s="624"/>
      <c r="B419" s="182">
        <f t="shared" si="91"/>
        <v>21</v>
      </c>
      <c r="C419" s="182">
        <f t="shared" si="91"/>
        <v>9</v>
      </c>
      <c r="D419" s="182" t="str">
        <f t="shared" si="90"/>
        <v>Boisson spécial numéro 9</v>
      </c>
      <c r="E419" s="268">
        <f t="shared" si="92"/>
        <v>2.9</v>
      </c>
      <c r="F419" s="267">
        <f t="shared" si="92"/>
        <v>10</v>
      </c>
      <c r="G419" s="266">
        <f t="shared" si="93"/>
        <v>0.28999999999999998</v>
      </c>
      <c r="H419" s="265">
        <f t="shared" si="94"/>
        <v>7.1</v>
      </c>
      <c r="I419" s="264"/>
      <c r="J419" s="610"/>
      <c r="K419" s="263"/>
      <c r="L419" s="231"/>
      <c r="M419" s="230"/>
      <c r="N419" s="217"/>
    </row>
    <row r="420" spans="1:14" ht="19" thickBot="1" x14ac:dyDescent="0.35">
      <c r="A420" s="624"/>
      <c r="B420" s="275">
        <f t="shared" si="91"/>
        <v>22</v>
      </c>
      <c r="C420" s="275">
        <f t="shared" si="91"/>
        <v>10</v>
      </c>
      <c r="D420" s="275" t="str">
        <f t="shared" si="90"/>
        <v>Boisson spécial numéro 10</v>
      </c>
      <c r="E420" s="274">
        <f t="shared" si="92"/>
        <v>2.98</v>
      </c>
      <c r="F420" s="273">
        <f t="shared" si="92"/>
        <v>10.4</v>
      </c>
      <c r="G420" s="272">
        <f t="shared" si="93"/>
        <v>0.28653846153846152</v>
      </c>
      <c r="H420" s="271">
        <f t="shared" si="94"/>
        <v>7.42</v>
      </c>
      <c r="I420" s="270">
        <f>+I413+2.1</f>
        <v>10.799999999999999</v>
      </c>
      <c r="J420" s="619"/>
      <c r="K420" s="263"/>
      <c r="L420" s="231"/>
      <c r="M420" s="230"/>
      <c r="N420" s="217"/>
    </row>
    <row r="421" spans="1:14" ht="18" x14ac:dyDescent="0.3">
      <c r="A421" s="624"/>
      <c r="B421" s="182">
        <f t="shared" si="91"/>
        <v>23</v>
      </c>
      <c r="C421" s="182">
        <f t="shared" si="91"/>
        <v>11</v>
      </c>
      <c r="D421" s="182" t="str">
        <f t="shared" si="90"/>
        <v>Boisson spécial numéro 11</v>
      </c>
      <c r="E421" s="268">
        <f t="shared" si="92"/>
        <v>3.18</v>
      </c>
      <c r="F421" s="267">
        <f t="shared" si="92"/>
        <v>11.6</v>
      </c>
      <c r="G421" s="266">
        <f t="shared" si="93"/>
        <v>0.27413793103448281</v>
      </c>
      <c r="H421" s="265">
        <f t="shared" si="94"/>
        <v>8.42</v>
      </c>
      <c r="I421" s="264">
        <f>+I420+0.01</f>
        <v>10.809999999999999</v>
      </c>
      <c r="J421" s="609">
        <f>2/12</f>
        <v>0.16666666666666666</v>
      </c>
      <c r="K421" s="269"/>
      <c r="L421" s="231"/>
      <c r="M421" s="230"/>
      <c r="N421" s="217"/>
    </row>
    <row r="422" spans="1:14" ht="18" x14ac:dyDescent="0.3">
      <c r="A422" s="624"/>
      <c r="B422" s="182">
        <f t="shared" si="91"/>
        <v>24</v>
      </c>
      <c r="C422" s="182">
        <f t="shared" si="91"/>
        <v>12</v>
      </c>
      <c r="D422" s="182" t="str">
        <f t="shared" si="90"/>
        <v>Boisson spécial numéro 12</v>
      </c>
      <c r="E422" s="268">
        <f t="shared" si="92"/>
        <v>3.48</v>
      </c>
      <c r="F422" s="267">
        <f t="shared" si="92"/>
        <v>13.2</v>
      </c>
      <c r="G422" s="266">
        <f t="shared" si="93"/>
        <v>0.26363636363636367</v>
      </c>
      <c r="H422" s="265">
        <f t="shared" si="94"/>
        <v>9.7199999999999989</v>
      </c>
      <c r="I422" s="264">
        <f>F422</f>
        <v>13.2</v>
      </c>
      <c r="J422" s="610"/>
      <c r="K422" s="263"/>
      <c r="L422" s="231"/>
      <c r="M422" s="230"/>
      <c r="N422" s="217"/>
    </row>
    <row r="423" spans="1:14" ht="19" x14ac:dyDescent="0.35">
      <c r="A423" s="624"/>
      <c r="B423" s="182"/>
      <c r="C423" s="182"/>
      <c r="D423" s="241" t="str">
        <f t="shared" si="90"/>
        <v>CmO—PmO—Beverage Cost—Marge brute</v>
      </c>
      <c r="E423" s="262">
        <f>SUM(E411:E422)/C422</f>
        <v>2.8483333333333332</v>
      </c>
      <c r="F423" s="262">
        <f>SUM(F411:F422)/C422</f>
        <v>9.5333333333333332</v>
      </c>
      <c r="G423" s="261">
        <f t="shared" si="93"/>
        <v>0.29877622377622376</v>
      </c>
      <c r="H423" s="260">
        <f t="shared" si="94"/>
        <v>6.6850000000000005</v>
      </c>
      <c r="I423" s="259"/>
      <c r="J423" s="182"/>
      <c r="K423" s="182"/>
      <c r="L423" s="291">
        <v>1</v>
      </c>
      <c r="M423" s="230" t="s">
        <v>1</v>
      </c>
      <c r="N423" s="217"/>
    </row>
    <row r="424" spans="1:14" ht="19" thickBot="1" x14ac:dyDescent="0.35">
      <c r="A424" s="624"/>
      <c r="B424" s="182"/>
      <c r="C424" s="182"/>
      <c r="D424" s="182"/>
      <c r="E424" s="245"/>
      <c r="F424" s="245"/>
      <c r="G424" s="244"/>
      <c r="H424" s="243"/>
      <c r="I424" s="182"/>
      <c r="J424" s="182"/>
      <c r="K424" s="182"/>
      <c r="L424" s="231"/>
      <c r="M424" s="230"/>
      <c r="N424" s="217"/>
    </row>
    <row r="425" spans="1:14" ht="21" thickTop="1" thickBot="1" x14ac:dyDescent="0.4">
      <c r="A425" s="624"/>
      <c r="B425" s="182"/>
      <c r="C425" s="256"/>
      <c r="D425" s="255"/>
      <c r="E425" s="254"/>
      <c r="F425" s="254"/>
      <c r="G425" s="253"/>
      <c r="H425" s="252"/>
      <c r="I425" s="251"/>
      <c r="J425" s="182"/>
      <c r="K425" s="182"/>
      <c r="L425" s="231"/>
      <c r="M425" s="230"/>
      <c r="N425" s="217"/>
    </row>
    <row r="426" spans="1:14" ht="20" thickTop="1" thickBot="1" x14ac:dyDescent="0.35">
      <c r="A426" s="624"/>
      <c r="B426" s="182"/>
      <c r="C426" s="236"/>
      <c r="D426" s="241"/>
      <c r="E426" s="250" t="str">
        <f>E383</f>
        <v>CmO</v>
      </c>
      <c r="F426" s="250" t="str">
        <f>F383</f>
        <v>PmO</v>
      </c>
      <c r="G426" s="249" t="str">
        <f>G383</f>
        <v>F&amp;BCmO</v>
      </c>
      <c r="H426" s="248" t="str">
        <f>H383</f>
        <v>BmO</v>
      </c>
      <c r="I426" s="247"/>
      <c r="J426" s="182"/>
      <c r="K426" s="182"/>
      <c r="L426" s="231"/>
      <c r="M426" s="230"/>
      <c r="N426" s="217"/>
    </row>
    <row r="427" spans="1:14" ht="19" thickTop="1" x14ac:dyDescent="0.3">
      <c r="A427" s="624"/>
      <c r="B427" s="182"/>
      <c r="C427" s="236"/>
      <c r="D427" s="246" t="str">
        <f>D384</f>
        <v>OFFRE TOTALE AVEC LES GÂTERIES ET LES CAFÉS GÂTERIES</v>
      </c>
      <c r="E427" s="245"/>
      <c r="F427" s="245"/>
      <c r="G427" s="244"/>
      <c r="H427" s="243"/>
      <c r="I427" s="242"/>
      <c r="J427" s="182"/>
      <c r="K427" s="182"/>
      <c r="L427" s="231"/>
      <c r="M427" s="230"/>
      <c r="N427" s="217"/>
    </row>
    <row r="428" spans="1:14" ht="19" x14ac:dyDescent="0.35">
      <c r="A428" s="624"/>
      <c r="B428" s="182"/>
      <c r="C428" s="236"/>
      <c r="D428" s="241" t="str">
        <f>D385</f>
        <v>CmO—PmO—F&amp;B cost moyen offert—Marge brute</v>
      </c>
      <c r="E428" s="240">
        <f>+(E396+E397+E398+E399+E400+E401+E402+E403+E404+E405+E406+E407+E411+E412+E413+E414+E415+E416+E417+E418+E419+E420+E421+E422)/B422</f>
        <v>2.1649999999999996</v>
      </c>
      <c r="F428" s="240">
        <f>+(F396+F397+F398+F399+F400+F401+F402+F403+F404+F405+F406+F407+F411+F412+F413+F414+F415+F416+F417+F418+F419+F420+F421+F422)/B422</f>
        <v>7.1749999999999998</v>
      </c>
      <c r="G428" s="239">
        <f>E428/F428</f>
        <v>0.30174216027874562</v>
      </c>
      <c r="H428" s="238">
        <f>F428-E428</f>
        <v>5.01</v>
      </c>
      <c r="I428" s="237"/>
      <c r="J428" s="182"/>
      <c r="K428" s="182"/>
      <c r="L428" s="231">
        <f>L385</f>
        <v>2</v>
      </c>
      <c r="M428" s="230">
        <f>'% Occupation'!M19</f>
        <v>196</v>
      </c>
      <c r="N428" s="217"/>
    </row>
    <row r="429" spans="1:14" ht="18" x14ac:dyDescent="0.3">
      <c r="A429" s="624"/>
      <c r="B429" s="182"/>
      <c r="C429" s="236"/>
      <c r="D429" s="182"/>
      <c r="E429" s="235"/>
      <c r="F429" s="235"/>
      <c r="G429" s="234"/>
      <c r="H429" s="233"/>
      <c r="I429" s="232"/>
      <c r="J429" s="182"/>
      <c r="K429" s="182"/>
      <c r="L429" s="231"/>
      <c r="M429" s="230"/>
      <c r="N429" s="217"/>
    </row>
    <row r="430" spans="1:14" ht="19" thickBot="1" x14ac:dyDescent="0.35">
      <c r="A430" s="624"/>
      <c r="B430" s="182"/>
      <c r="C430" s="229"/>
      <c r="D430" s="228"/>
      <c r="E430" s="227"/>
      <c r="F430" s="227"/>
      <c r="G430" s="226"/>
      <c r="H430" s="225"/>
      <c r="I430" s="224"/>
      <c r="J430" s="182"/>
      <c r="K430" s="182"/>
      <c r="L430" s="223"/>
      <c r="M430" s="222"/>
      <c r="N430" s="217"/>
    </row>
    <row r="431" spans="1:14" ht="19" thickTop="1" x14ac:dyDescent="0.3">
      <c r="A431" s="624"/>
      <c r="L431" s="220"/>
      <c r="M431" s="218"/>
      <c r="N431" s="217"/>
    </row>
    <row r="432" spans="1:14" ht="23" x14ac:dyDescent="0.3">
      <c r="A432" s="624"/>
      <c r="D432" s="287" t="s">
        <v>88</v>
      </c>
      <c r="F432" s="283"/>
      <c r="L432" s="220"/>
      <c r="M432" s="218"/>
      <c r="N432" s="217"/>
    </row>
    <row r="433" spans="1:14" ht="24" thickBot="1" x14ac:dyDescent="0.35">
      <c r="A433" s="624"/>
      <c r="D433" s="285"/>
      <c r="L433" s="220"/>
      <c r="M433" s="218"/>
      <c r="N433" s="217"/>
    </row>
    <row r="434" spans="1:14" ht="23" customHeight="1" thickTop="1" x14ac:dyDescent="0.25">
      <c r="A434" s="624"/>
      <c r="D434" s="285"/>
      <c r="E434" s="604" t="str">
        <f>E391</f>
        <v>Coûts des ressources alimentaires pour chaque produit offert (voir recettes standardisées)</v>
      </c>
      <c r="F434" s="604" t="str">
        <f>F391</f>
        <v>Prix de vente par produit offert</v>
      </c>
      <c r="G434" s="604" t="str">
        <f>G391</f>
        <v xml:space="preserve">« Food &amp; Beverage Cost » </v>
      </c>
      <c r="H434" s="604" t="str">
        <f>H391</f>
        <v>Marge brute gagnée sur la vente de chaque produit offert</v>
      </c>
      <c r="I434" s="286"/>
      <c r="L434" s="613" t="s">
        <v>84</v>
      </c>
      <c r="M434" s="613" t="s">
        <v>83</v>
      </c>
      <c r="N434" s="217"/>
    </row>
    <row r="435" spans="1:14" ht="22" x14ac:dyDescent="0.25">
      <c r="A435" s="624"/>
      <c r="D435" s="285"/>
      <c r="E435" s="605"/>
      <c r="F435" s="607"/>
      <c r="G435" s="607"/>
      <c r="H435" s="607"/>
      <c r="I435" s="284"/>
      <c r="L435" s="614"/>
      <c r="M435" s="616"/>
      <c r="N435" s="217"/>
    </row>
    <row r="436" spans="1:14" ht="14" customHeight="1" thickBot="1" x14ac:dyDescent="0.25">
      <c r="A436" s="624"/>
      <c r="E436" s="606"/>
      <c r="F436" s="608"/>
      <c r="G436" s="608"/>
      <c r="H436" s="608"/>
      <c r="I436" s="284"/>
      <c r="L436" s="615"/>
      <c r="M436" s="617"/>
      <c r="N436" s="217"/>
    </row>
    <row r="437" spans="1:14" ht="20" thickTop="1" thickBot="1" x14ac:dyDescent="0.35">
      <c r="A437" s="624"/>
      <c r="B437" s="149" t="s">
        <v>1</v>
      </c>
      <c r="E437" s="283"/>
      <c r="F437" s="283"/>
      <c r="G437" s="282"/>
      <c r="L437" s="220"/>
      <c r="M437" s="218"/>
      <c r="N437" s="217"/>
    </row>
    <row r="438" spans="1:14" ht="19" thickTop="1" x14ac:dyDescent="0.3">
      <c r="A438" s="624"/>
      <c r="B438" s="182"/>
      <c r="C438" s="182"/>
      <c r="D438" s="241" t="str">
        <f t="shared" ref="D438:D451" si="95">D395</f>
        <v>Les Petite Gâteries</v>
      </c>
      <c r="E438" s="264"/>
      <c r="F438" s="264"/>
      <c r="G438" s="244"/>
      <c r="H438" s="182"/>
      <c r="I438" s="182"/>
      <c r="J438" s="182"/>
      <c r="K438" s="182"/>
      <c r="L438" s="281"/>
      <c r="M438" s="280"/>
      <c r="N438" s="217"/>
    </row>
    <row r="439" spans="1:14" ht="18" x14ac:dyDescent="0.3">
      <c r="A439" s="624"/>
      <c r="B439" s="182">
        <f t="shared" ref="B439:C450" si="96">B396</f>
        <v>1</v>
      </c>
      <c r="C439" s="182">
        <f t="shared" si="96"/>
        <v>1</v>
      </c>
      <c r="D439" s="182" t="str">
        <f t="shared" si="95"/>
        <v>Petite Gâterie 1</v>
      </c>
      <c r="E439" s="268">
        <f t="shared" ref="E439:F450" si="97">E396</f>
        <v>1.21</v>
      </c>
      <c r="F439" s="267">
        <f t="shared" si="97"/>
        <v>3.3</v>
      </c>
      <c r="G439" s="266">
        <f t="shared" ref="G439:G451" si="98">E439/F439</f>
        <v>0.3666666666666667</v>
      </c>
      <c r="H439" s="265">
        <f t="shared" ref="H439:H451" si="99">F439-E439</f>
        <v>2.09</v>
      </c>
      <c r="I439" s="264"/>
      <c r="J439" s="182"/>
      <c r="K439" s="182"/>
      <c r="L439" s="279"/>
      <c r="M439" s="230"/>
      <c r="N439" s="217"/>
    </row>
    <row r="440" spans="1:14" ht="18" x14ac:dyDescent="0.3">
      <c r="A440" s="624"/>
      <c r="B440" s="182">
        <f t="shared" si="96"/>
        <v>2</v>
      </c>
      <c r="C440" s="182">
        <f t="shared" si="96"/>
        <v>2</v>
      </c>
      <c r="D440" s="182" t="str">
        <f t="shared" si="95"/>
        <v>Petite Gâterie 2</v>
      </c>
      <c r="E440" s="268">
        <f t="shared" si="97"/>
        <v>1.31</v>
      </c>
      <c r="F440" s="267">
        <f t="shared" si="97"/>
        <v>3.8</v>
      </c>
      <c r="G440" s="266">
        <f t="shared" si="98"/>
        <v>0.34473684210526317</v>
      </c>
      <c r="H440" s="265">
        <f t="shared" si="99"/>
        <v>2.4899999999999998</v>
      </c>
      <c r="I440" s="264"/>
      <c r="J440" s="182"/>
      <c r="K440" s="182"/>
      <c r="L440" s="231"/>
      <c r="M440" s="230"/>
      <c r="N440" s="217"/>
    </row>
    <row r="441" spans="1:14" ht="18" x14ac:dyDescent="0.3">
      <c r="A441" s="624"/>
      <c r="B441" s="182">
        <f t="shared" si="96"/>
        <v>3</v>
      </c>
      <c r="C441" s="182">
        <f t="shared" si="96"/>
        <v>3</v>
      </c>
      <c r="D441" s="182" t="str">
        <f t="shared" si="95"/>
        <v>Petite Gâterie 3</v>
      </c>
      <c r="E441" s="268">
        <f t="shared" si="97"/>
        <v>1.35</v>
      </c>
      <c r="F441" s="267">
        <f t="shared" si="97"/>
        <v>4</v>
      </c>
      <c r="G441" s="266">
        <f t="shared" si="98"/>
        <v>0.33750000000000002</v>
      </c>
      <c r="H441" s="265">
        <f t="shared" si="99"/>
        <v>2.65</v>
      </c>
      <c r="I441" s="264"/>
      <c r="J441" s="182"/>
      <c r="K441" s="182"/>
      <c r="L441" s="231"/>
      <c r="M441" s="230"/>
      <c r="N441" s="217"/>
    </row>
    <row r="442" spans="1:14" ht="18" x14ac:dyDescent="0.3">
      <c r="A442" s="624"/>
      <c r="B442" s="182">
        <f t="shared" si="96"/>
        <v>4</v>
      </c>
      <c r="C442" s="182">
        <f t="shared" si="96"/>
        <v>4</v>
      </c>
      <c r="D442" s="182" t="str">
        <f t="shared" si="95"/>
        <v>Petite Gâterie 4</v>
      </c>
      <c r="E442" s="268">
        <f t="shared" si="97"/>
        <v>1.4</v>
      </c>
      <c r="F442" s="267">
        <f t="shared" si="97"/>
        <v>4.5</v>
      </c>
      <c r="G442" s="266">
        <f t="shared" si="98"/>
        <v>0.31111111111111112</v>
      </c>
      <c r="H442" s="265">
        <f t="shared" si="99"/>
        <v>3.1</v>
      </c>
      <c r="I442" s="264"/>
      <c r="J442" s="182"/>
      <c r="K442" s="182"/>
      <c r="L442" s="231"/>
      <c r="M442" s="230"/>
      <c r="N442" s="217"/>
    </row>
    <row r="443" spans="1:14" ht="18" x14ac:dyDescent="0.3">
      <c r="A443" s="624"/>
      <c r="B443" s="182">
        <f t="shared" si="96"/>
        <v>5</v>
      </c>
      <c r="C443" s="182">
        <f t="shared" si="96"/>
        <v>5</v>
      </c>
      <c r="D443" s="182" t="str">
        <f t="shared" si="95"/>
        <v>Petite Gâterie 5</v>
      </c>
      <c r="E443" s="268">
        <f t="shared" si="97"/>
        <v>1.24</v>
      </c>
      <c r="F443" s="267">
        <f t="shared" si="97"/>
        <v>4.5999999999999996</v>
      </c>
      <c r="G443" s="266">
        <f t="shared" si="98"/>
        <v>0.26956521739130435</v>
      </c>
      <c r="H443" s="265">
        <f t="shared" si="99"/>
        <v>3.3599999999999994</v>
      </c>
      <c r="I443" s="264"/>
      <c r="J443" s="182"/>
      <c r="K443" s="182"/>
      <c r="L443" s="231"/>
      <c r="M443" s="230"/>
      <c r="N443" s="217"/>
    </row>
    <row r="444" spans="1:14" ht="18" x14ac:dyDescent="0.3">
      <c r="A444" s="624"/>
      <c r="B444" s="182">
        <f t="shared" si="96"/>
        <v>6</v>
      </c>
      <c r="C444" s="182">
        <f t="shared" si="96"/>
        <v>6</v>
      </c>
      <c r="D444" s="182" t="str">
        <f t="shared" si="95"/>
        <v>Petite Gâterie 6</v>
      </c>
      <c r="E444" s="268">
        <f t="shared" si="97"/>
        <v>1.39</v>
      </c>
      <c r="F444" s="267">
        <f t="shared" si="97"/>
        <v>4.7</v>
      </c>
      <c r="G444" s="266">
        <f t="shared" si="98"/>
        <v>0.29574468085106381</v>
      </c>
      <c r="H444" s="265">
        <f t="shared" si="99"/>
        <v>3.3100000000000005</v>
      </c>
      <c r="I444" s="264"/>
      <c r="J444" s="182"/>
      <c r="K444" s="182"/>
      <c r="L444" s="231"/>
      <c r="M444" s="230"/>
      <c r="N444" s="217"/>
    </row>
    <row r="445" spans="1:14" ht="18" x14ac:dyDescent="0.3">
      <c r="A445" s="624"/>
      <c r="B445" s="182">
        <f t="shared" si="96"/>
        <v>7</v>
      </c>
      <c r="C445" s="182">
        <f t="shared" si="96"/>
        <v>7</v>
      </c>
      <c r="D445" s="182" t="str">
        <f t="shared" si="95"/>
        <v>Petite Gâterie 7</v>
      </c>
      <c r="E445" s="268">
        <f t="shared" si="97"/>
        <v>1.51</v>
      </c>
      <c r="F445" s="267">
        <f t="shared" si="97"/>
        <v>4.8</v>
      </c>
      <c r="G445" s="266">
        <f t="shared" si="98"/>
        <v>0.31458333333333333</v>
      </c>
      <c r="H445" s="265">
        <f t="shared" si="99"/>
        <v>3.29</v>
      </c>
      <c r="I445" s="264"/>
      <c r="J445" s="182"/>
      <c r="K445" s="182"/>
      <c r="L445" s="231"/>
      <c r="M445" s="230"/>
      <c r="N445" s="217"/>
    </row>
    <row r="446" spans="1:14" ht="18" x14ac:dyDescent="0.3">
      <c r="A446" s="624"/>
      <c r="B446" s="182">
        <f t="shared" si="96"/>
        <v>8</v>
      </c>
      <c r="C446" s="182">
        <f t="shared" si="96"/>
        <v>8</v>
      </c>
      <c r="D446" s="182" t="str">
        <f t="shared" si="95"/>
        <v>Petite Gâterie 8</v>
      </c>
      <c r="E446" s="268">
        <f t="shared" si="97"/>
        <v>1.53</v>
      </c>
      <c r="F446" s="267">
        <f t="shared" si="97"/>
        <v>4.9000000000000004</v>
      </c>
      <c r="G446" s="266">
        <f t="shared" si="98"/>
        <v>0.31224489795918364</v>
      </c>
      <c r="H446" s="265">
        <f t="shared" si="99"/>
        <v>3.37</v>
      </c>
      <c r="I446" s="264"/>
      <c r="J446" s="182"/>
      <c r="K446" s="182"/>
      <c r="L446" s="231"/>
      <c r="M446" s="230"/>
      <c r="N446" s="217"/>
    </row>
    <row r="447" spans="1:14" ht="18" x14ac:dyDescent="0.3">
      <c r="A447" s="624"/>
      <c r="B447" s="182">
        <f t="shared" si="96"/>
        <v>9</v>
      </c>
      <c r="C447" s="182">
        <f t="shared" si="96"/>
        <v>9</v>
      </c>
      <c r="D447" s="182" t="str">
        <f t="shared" si="95"/>
        <v>Petite Gâterie 9</v>
      </c>
      <c r="E447" s="268">
        <f t="shared" si="97"/>
        <v>1.55</v>
      </c>
      <c r="F447" s="267">
        <f t="shared" si="97"/>
        <v>5</v>
      </c>
      <c r="G447" s="266">
        <f t="shared" si="98"/>
        <v>0.31</v>
      </c>
      <c r="H447" s="265">
        <f t="shared" si="99"/>
        <v>3.45</v>
      </c>
      <c r="I447" s="264"/>
      <c r="J447" s="182"/>
      <c r="K447" s="182"/>
      <c r="L447" s="231"/>
      <c r="M447" s="230"/>
      <c r="N447" s="217"/>
    </row>
    <row r="448" spans="1:14" ht="18" x14ac:dyDescent="0.3">
      <c r="A448" s="624"/>
      <c r="B448" s="182">
        <f t="shared" si="96"/>
        <v>10</v>
      </c>
      <c r="C448" s="182">
        <f t="shared" si="96"/>
        <v>10</v>
      </c>
      <c r="D448" s="182" t="str">
        <f t="shared" si="95"/>
        <v>Petite Gâterie 10</v>
      </c>
      <c r="E448" s="268">
        <f t="shared" si="97"/>
        <v>1.59</v>
      </c>
      <c r="F448" s="267">
        <f t="shared" si="97"/>
        <v>5.2</v>
      </c>
      <c r="G448" s="266">
        <f t="shared" si="98"/>
        <v>0.30576923076923079</v>
      </c>
      <c r="H448" s="265">
        <f t="shared" si="99"/>
        <v>3.6100000000000003</v>
      </c>
      <c r="I448" s="264"/>
      <c r="J448" s="182"/>
      <c r="K448" s="182"/>
      <c r="L448" s="231"/>
      <c r="M448" s="230"/>
      <c r="N448" s="217"/>
    </row>
    <row r="449" spans="1:14" ht="18" x14ac:dyDescent="0.3">
      <c r="A449" s="624"/>
      <c r="B449" s="182">
        <f t="shared" si="96"/>
        <v>11</v>
      </c>
      <c r="C449" s="182">
        <f t="shared" si="96"/>
        <v>11</v>
      </c>
      <c r="D449" s="182" t="str">
        <f t="shared" si="95"/>
        <v>Petite Gâterie 11</v>
      </c>
      <c r="E449" s="268">
        <f t="shared" si="97"/>
        <v>1.83</v>
      </c>
      <c r="F449" s="267">
        <f t="shared" si="97"/>
        <v>6.4</v>
      </c>
      <c r="G449" s="266">
        <f t="shared" si="98"/>
        <v>0.28593750000000001</v>
      </c>
      <c r="H449" s="265">
        <f t="shared" si="99"/>
        <v>4.57</v>
      </c>
      <c r="I449" s="264"/>
      <c r="J449" s="182"/>
      <c r="K449" s="182"/>
      <c r="L449" s="231"/>
      <c r="M449" s="230"/>
      <c r="N449" s="217"/>
    </row>
    <row r="450" spans="1:14" ht="18" x14ac:dyDescent="0.3">
      <c r="A450" s="624"/>
      <c r="B450" s="182">
        <f t="shared" si="96"/>
        <v>12</v>
      </c>
      <c r="C450" s="182">
        <f t="shared" si="96"/>
        <v>12</v>
      </c>
      <c r="D450" s="182" t="str">
        <f t="shared" si="95"/>
        <v>Petite Gâterie 12</v>
      </c>
      <c r="E450" s="268">
        <f t="shared" si="97"/>
        <v>1.87</v>
      </c>
      <c r="F450" s="267">
        <f t="shared" si="97"/>
        <v>6.6</v>
      </c>
      <c r="G450" s="266">
        <f t="shared" si="98"/>
        <v>0.28333333333333338</v>
      </c>
      <c r="H450" s="265">
        <f t="shared" si="99"/>
        <v>4.7299999999999995</v>
      </c>
      <c r="I450" s="264"/>
      <c r="J450" s="182"/>
      <c r="K450" s="182"/>
      <c r="L450" s="231"/>
      <c r="M450" s="230"/>
      <c r="N450" s="217"/>
    </row>
    <row r="451" spans="1:14" ht="19" x14ac:dyDescent="0.35">
      <c r="A451" s="624"/>
      <c r="B451" s="182"/>
      <c r="C451" s="182"/>
      <c r="D451" s="241" t="str">
        <f t="shared" si="95"/>
        <v>CmO—PmO—Food Cost—BmO</v>
      </c>
      <c r="E451" s="262">
        <f>SUM(E439:E450)/C450</f>
        <v>1.4816666666666667</v>
      </c>
      <c r="F451" s="262">
        <f>SUM(F439:F450)/C450</f>
        <v>4.8166666666666673</v>
      </c>
      <c r="G451" s="277">
        <f t="shared" si="98"/>
        <v>0.30761245674740478</v>
      </c>
      <c r="H451" s="260">
        <f t="shared" si="99"/>
        <v>3.3350000000000009</v>
      </c>
      <c r="I451" s="259"/>
      <c r="J451" s="182"/>
      <c r="K451" s="182"/>
      <c r="L451" s="291">
        <v>1</v>
      </c>
      <c r="M451" s="230" t="s">
        <v>1</v>
      </c>
      <c r="N451" s="217"/>
    </row>
    <row r="452" spans="1:14" ht="18" x14ac:dyDescent="0.3">
      <c r="A452" s="624"/>
      <c r="B452" s="182" t="s">
        <v>1</v>
      </c>
      <c r="C452" s="182"/>
      <c r="D452" s="182"/>
      <c r="E452" s="245"/>
      <c r="F452" s="245"/>
      <c r="G452" s="266"/>
      <c r="H452" s="243"/>
      <c r="I452" s="182"/>
      <c r="J452" s="182"/>
      <c r="K452" s="182"/>
      <c r="L452" s="231"/>
      <c r="M452" s="230"/>
      <c r="N452" s="217"/>
    </row>
    <row r="453" spans="1:14" ht="18" x14ac:dyDescent="0.3">
      <c r="A453" s="624"/>
      <c r="B453" s="182"/>
      <c r="C453" s="182"/>
      <c r="D453" s="241" t="str">
        <f t="shared" ref="D453:D466" si="100">D410</f>
        <v>Les Boissons  Gâteries</v>
      </c>
      <c r="E453" s="245"/>
      <c r="F453" s="245"/>
      <c r="G453" s="266"/>
      <c r="H453" s="243"/>
      <c r="I453" s="182"/>
      <c r="J453" s="182"/>
      <c r="K453" s="182"/>
      <c r="L453" s="231"/>
      <c r="M453" s="230"/>
      <c r="N453" s="217"/>
    </row>
    <row r="454" spans="1:14" ht="18" x14ac:dyDescent="0.3">
      <c r="A454" s="624"/>
      <c r="B454" s="182">
        <f t="shared" ref="B454:C465" si="101">B411</f>
        <v>13</v>
      </c>
      <c r="C454" s="182">
        <f t="shared" si="101"/>
        <v>1</v>
      </c>
      <c r="D454" s="182" t="str">
        <f t="shared" si="100"/>
        <v>Boisson spécial numéro 1</v>
      </c>
      <c r="E454" s="268">
        <f t="shared" ref="E454:F465" si="102">E411</f>
        <v>2.2799999999999998</v>
      </c>
      <c r="F454" s="267">
        <f t="shared" si="102"/>
        <v>6.6</v>
      </c>
      <c r="G454" s="266">
        <f t="shared" ref="G454:G466" si="103">E454/F454</f>
        <v>0.34545454545454546</v>
      </c>
      <c r="H454" s="265">
        <f t="shared" ref="H454:H466" si="104">F454-E454</f>
        <v>4.32</v>
      </c>
      <c r="I454" s="264"/>
      <c r="J454" s="182"/>
      <c r="K454" s="182"/>
      <c r="L454" s="231"/>
      <c r="M454" s="230"/>
      <c r="N454" s="217"/>
    </row>
    <row r="455" spans="1:14" ht="18" x14ac:dyDescent="0.3">
      <c r="A455" s="624"/>
      <c r="B455" s="182">
        <f t="shared" si="101"/>
        <v>14</v>
      </c>
      <c r="C455" s="182">
        <f t="shared" si="101"/>
        <v>2</v>
      </c>
      <c r="D455" s="182" t="str">
        <f t="shared" si="100"/>
        <v>Boisson spécial numéro 2</v>
      </c>
      <c r="E455" s="268">
        <f t="shared" si="102"/>
        <v>2.66</v>
      </c>
      <c r="F455" s="267">
        <f t="shared" si="102"/>
        <v>7.6</v>
      </c>
      <c r="G455" s="266">
        <f t="shared" si="103"/>
        <v>0.35000000000000003</v>
      </c>
      <c r="H455" s="265">
        <f t="shared" si="104"/>
        <v>4.9399999999999995</v>
      </c>
      <c r="I455" s="264"/>
      <c r="J455" s="182"/>
      <c r="K455" s="182"/>
      <c r="L455" s="231"/>
      <c r="M455" s="230"/>
      <c r="N455" s="217"/>
    </row>
    <row r="456" spans="1:14" ht="18" x14ac:dyDescent="0.3">
      <c r="A456" s="624"/>
      <c r="B456" s="182">
        <f t="shared" si="101"/>
        <v>15</v>
      </c>
      <c r="C456" s="182">
        <f t="shared" si="101"/>
        <v>3</v>
      </c>
      <c r="D456" s="182" t="str">
        <f t="shared" si="100"/>
        <v>Boisson spécial numéro 3</v>
      </c>
      <c r="E456" s="268">
        <f t="shared" si="102"/>
        <v>2.74</v>
      </c>
      <c r="F456" s="267">
        <f t="shared" si="102"/>
        <v>8</v>
      </c>
      <c r="G456" s="266">
        <f t="shared" si="103"/>
        <v>0.34250000000000003</v>
      </c>
      <c r="H456" s="265">
        <f t="shared" si="104"/>
        <v>5.26</v>
      </c>
      <c r="I456" s="264"/>
      <c r="J456" s="182"/>
      <c r="K456" s="182"/>
      <c r="L456" s="231"/>
      <c r="M456" s="230"/>
      <c r="N456" s="217"/>
    </row>
    <row r="457" spans="1:14" ht="18" x14ac:dyDescent="0.3">
      <c r="A457" s="624"/>
      <c r="B457" s="182">
        <f t="shared" si="101"/>
        <v>16</v>
      </c>
      <c r="C457" s="182">
        <f t="shared" si="101"/>
        <v>4</v>
      </c>
      <c r="D457" s="182" t="str">
        <f t="shared" si="100"/>
        <v>Boisson spécial numéro 4</v>
      </c>
      <c r="E457" s="268">
        <f t="shared" si="102"/>
        <v>2.72</v>
      </c>
      <c r="F457" s="267">
        <f t="shared" si="102"/>
        <v>9</v>
      </c>
      <c r="G457" s="266">
        <f t="shared" si="103"/>
        <v>0.30222222222222223</v>
      </c>
      <c r="H457" s="265">
        <f t="shared" si="104"/>
        <v>6.2799999999999994</v>
      </c>
      <c r="I457" s="264"/>
      <c r="J457" s="182"/>
      <c r="K457" s="182"/>
      <c r="L457" s="231"/>
      <c r="M457" s="230"/>
      <c r="N457" s="217"/>
    </row>
    <row r="458" spans="1:14" ht="18" x14ac:dyDescent="0.3">
      <c r="A458" s="624"/>
      <c r="B458" s="182">
        <f t="shared" si="101"/>
        <v>17</v>
      </c>
      <c r="C458" s="182">
        <f t="shared" si="101"/>
        <v>5</v>
      </c>
      <c r="D458" s="182" t="str">
        <f t="shared" si="100"/>
        <v>Boisson spécial numéro 5</v>
      </c>
      <c r="E458" s="268">
        <f t="shared" si="102"/>
        <v>2.76</v>
      </c>
      <c r="F458" s="267">
        <f t="shared" si="102"/>
        <v>9.1999999999999993</v>
      </c>
      <c r="G458" s="266">
        <f t="shared" si="103"/>
        <v>0.3</v>
      </c>
      <c r="H458" s="265">
        <f t="shared" si="104"/>
        <v>6.4399999999999995</v>
      </c>
      <c r="I458" s="264"/>
      <c r="J458" s="182"/>
      <c r="K458" s="182"/>
      <c r="L458" s="231"/>
      <c r="M458" s="230"/>
      <c r="N458" s="217"/>
    </row>
    <row r="459" spans="1:14" ht="18" x14ac:dyDescent="0.3">
      <c r="A459" s="624"/>
      <c r="B459" s="182">
        <f t="shared" si="101"/>
        <v>18</v>
      </c>
      <c r="C459" s="182">
        <f t="shared" si="101"/>
        <v>6</v>
      </c>
      <c r="D459" s="182" t="str">
        <f t="shared" si="100"/>
        <v>Boisson spécial numéro 6</v>
      </c>
      <c r="E459" s="268">
        <f t="shared" si="102"/>
        <v>2.8</v>
      </c>
      <c r="F459" s="267">
        <f t="shared" si="102"/>
        <v>9.4</v>
      </c>
      <c r="G459" s="266">
        <f t="shared" si="103"/>
        <v>0.2978723404255319</v>
      </c>
      <c r="H459" s="265">
        <f t="shared" si="104"/>
        <v>6.6000000000000005</v>
      </c>
      <c r="I459" s="264"/>
      <c r="J459" s="182"/>
      <c r="K459" s="182"/>
      <c r="L459" s="231"/>
      <c r="M459" s="230"/>
      <c r="N459" s="217"/>
    </row>
    <row r="460" spans="1:14" ht="18" x14ac:dyDescent="0.3">
      <c r="A460" s="624"/>
      <c r="B460" s="182">
        <f t="shared" si="101"/>
        <v>19</v>
      </c>
      <c r="C460" s="182">
        <f t="shared" si="101"/>
        <v>7</v>
      </c>
      <c r="D460" s="182" t="str">
        <f t="shared" si="100"/>
        <v>Boisson spécial numéro 7</v>
      </c>
      <c r="E460" s="268">
        <f t="shared" si="102"/>
        <v>2.82</v>
      </c>
      <c r="F460" s="267">
        <f t="shared" si="102"/>
        <v>9.6</v>
      </c>
      <c r="G460" s="266">
        <f t="shared" si="103"/>
        <v>0.29375000000000001</v>
      </c>
      <c r="H460" s="265">
        <f t="shared" si="104"/>
        <v>6.7799999999999994</v>
      </c>
      <c r="I460" s="264"/>
      <c r="J460" s="182"/>
      <c r="K460" s="182"/>
      <c r="L460" s="231"/>
      <c r="M460" s="230"/>
      <c r="N460" s="217"/>
    </row>
    <row r="461" spans="1:14" ht="18" x14ac:dyDescent="0.3">
      <c r="A461" s="624"/>
      <c r="B461" s="182">
        <f t="shared" si="101"/>
        <v>20</v>
      </c>
      <c r="C461" s="182">
        <f t="shared" si="101"/>
        <v>8</v>
      </c>
      <c r="D461" s="182" t="str">
        <f t="shared" si="100"/>
        <v>Boisson spécial numéro 8</v>
      </c>
      <c r="E461" s="268">
        <f t="shared" si="102"/>
        <v>2.86</v>
      </c>
      <c r="F461" s="267">
        <f t="shared" si="102"/>
        <v>9.8000000000000007</v>
      </c>
      <c r="G461" s="266">
        <f t="shared" si="103"/>
        <v>0.2918367346938775</v>
      </c>
      <c r="H461" s="265">
        <f t="shared" si="104"/>
        <v>6.9400000000000013</v>
      </c>
      <c r="I461" s="264"/>
      <c r="J461" s="182"/>
      <c r="K461" s="182"/>
      <c r="L461" s="231"/>
      <c r="M461" s="230"/>
      <c r="N461" s="217"/>
    </row>
    <row r="462" spans="1:14" ht="18" x14ac:dyDescent="0.3">
      <c r="A462" s="624"/>
      <c r="B462" s="182">
        <f t="shared" si="101"/>
        <v>21</v>
      </c>
      <c r="C462" s="182">
        <f t="shared" si="101"/>
        <v>9</v>
      </c>
      <c r="D462" s="182" t="str">
        <f t="shared" si="100"/>
        <v>Boisson spécial numéro 9</v>
      </c>
      <c r="E462" s="268">
        <f t="shared" si="102"/>
        <v>2.9</v>
      </c>
      <c r="F462" s="267">
        <f t="shared" si="102"/>
        <v>10</v>
      </c>
      <c r="G462" s="266">
        <f t="shared" si="103"/>
        <v>0.28999999999999998</v>
      </c>
      <c r="H462" s="265">
        <f t="shared" si="104"/>
        <v>7.1</v>
      </c>
      <c r="I462" s="264"/>
      <c r="J462" s="182"/>
      <c r="K462" s="182"/>
      <c r="L462" s="231"/>
      <c r="M462" s="230"/>
      <c r="N462" s="217"/>
    </row>
    <row r="463" spans="1:14" ht="18" x14ac:dyDescent="0.3">
      <c r="A463" s="624"/>
      <c r="B463" s="182">
        <f t="shared" si="101"/>
        <v>22</v>
      </c>
      <c r="C463" s="182">
        <f t="shared" si="101"/>
        <v>10</v>
      </c>
      <c r="D463" s="182" t="str">
        <f t="shared" si="100"/>
        <v>Boisson spécial numéro 10</v>
      </c>
      <c r="E463" s="268">
        <f t="shared" si="102"/>
        <v>2.98</v>
      </c>
      <c r="F463" s="267">
        <f t="shared" si="102"/>
        <v>10.4</v>
      </c>
      <c r="G463" s="266">
        <f t="shared" si="103"/>
        <v>0.28653846153846152</v>
      </c>
      <c r="H463" s="265">
        <f t="shared" si="104"/>
        <v>7.42</v>
      </c>
      <c r="I463" s="264"/>
      <c r="J463" s="182"/>
      <c r="K463" s="182"/>
      <c r="L463" s="231"/>
      <c r="M463" s="230"/>
      <c r="N463" s="217"/>
    </row>
    <row r="464" spans="1:14" ht="18" x14ac:dyDescent="0.3">
      <c r="A464" s="624"/>
      <c r="B464" s="182">
        <f t="shared" si="101"/>
        <v>23</v>
      </c>
      <c r="C464" s="182">
        <f t="shared" si="101"/>
        <v>11</v>
      </c>
      <c r="D464" s="182" t="str">
        <f t="shared" si="100"/>
        <v>Boisson spécial numéro 11</v>
      </c>
      <c r="E464" s="268">
        <f t="shared" si="102"/>
        <v>3.18</v>
      </c>
      <c r="F464" s="267">
        <f t="shared" si="102"/>
        <v>11.6</v>
      </c>
      <c r="G464" s="266">
        <f t="shared" si="103"/>
        <v>0.27413793103448281</v>
      </c>
      <c r="H464" s="265">
        <f t="shared" si="104"/>
        <v>8.42</v>
      </c>
      <c r="I464" s="264"/>
      <c r="J464" s="182"/>
      <c r="K464" s="182"/>
      <c r="L464" s="231"/>
      <c r="M464" s="230"/>
      <c r="N464" s="217"/>
    </row>
    <row r="465" spans="1:14" ht="18" x14ac:dyDescent="0.3">
      <c r="A465" s="624"/>
      <c r="B465" s="182">
        <f t="shared" si="101"/>
        <v>24</v>
      </c>
      <c r="C465" s="182">
        <f t="shared" si="101"/>
        <v>12</v>
      </c>
      <c r="D465" s="182" t="str">
        <f t="shared" si="100"/>
        <v>Boisson spécial numéro 12</v>
      </c>
      <c r="E465" s="268">
        <f t="shared" si="102"/>
        <v>3.48</v>
      </c>
      <c r="F465" s="267">
        <f t="shared" si="102"/>
        <v>13.2</v>
      </c>
      <c r="G465" s="266">
        <f t="shared" si="103"/>
        <v>0.26363636363636367</v>
      </c>
      <c r="H465" s="265">
        <f t="shared" si="104"/>
        <v>9.7199999999999989</v>
      </c>
      <c r="I465" s="264"/>
      <c r="J465" s="182"/>
      <c r="K465" s="182"/>
      <c r="L465" s="231"/>
      <c r="M465" s="230"/>
      <c r="N465" s="217"/>
    </row>
    <row r="466" spans="1:14" ht="19" x14ac:dyDescent="0.35">
      <c r="A466" s="624"/>
      <c r="B466" s="182"/>
      <c r="C466" s="182"/>
      <c r="D466" s="241" t="str">
        <f t="shared" si="100"/>
        <v>CmO—PmO—Beverage Cost—Marge brute</v>
      </c>
      <c r="E466" s="262">
        <f>SUM(E454:E465)/C465</f>
        <v>2.8483333333333332</v>
      </c>
      <c r="F466" s="262">
        <f>SUM(F454:F465)/C465</f>
        <v>9.5333333333333332</v>
      </c>
      <c r="G466" s="261">
        <f t="shared" si="103"/>
        <v>0.29877622377622376</v>
      </c>
      <c r="H466" s="260">
        <f t="shared" si="104"/>
        <v>6.6850000000000005</v>
      </c>
      <c r="I466" s="259"/>
      <c r="J466" s="182"/>
      <c r="K466" s="182"/>
      <c r="L466" s="291">
        <v>1</v>
      </c>
      <c r="M466" s="230" t="s">
        <v>1</v>
      </c>
      <c r="N466" s="217"/>
    </row>
    <row r="467" spans="1:14" ht="19" thickBot="1" x14ac:dyDescent="0.35">
      <c r="A467" s="624"/>
      <c r="B467" s="182"/>
      <c r="C467" s="182"/>
      <c r="D467" s="182"/>
      <c r="E467" s="245"/>
      <c r="F467" s="245"/>
      <c r="G467" s="244"/>
      <c r="H467" s="243"/>
      <c r="I467" s="182"/>
      <c r="J467" s="182"/>
      <c r="K467" s="182"/>
      <c r="L467" s="231"/>
      <c r="M467" s="230"/>
      <c r="N467" s="217"/>
    </row>
    <row r="468" spans="1:14" ht="21" thickTop="1" thickBot="1" x14ac:dyDescent="0.4">
      <c r="A468" s="624"/>
      <c r="B468" s="182"/>
      <c r="C468" s="256"/>
      <c r="D468" s="255"/>
      <c r="E468" s="254"/>
      <c r="F468" s="254"/>
      <c r="G468" s="253"/>
      <c r="H468" s="252"/>
      <c r="I468" s="251"/>
      <c r="J468" s="182"/>
      <c r="K468" s="182"/>
      <c r="L468" s="231"/>
      <c r="M468" s="230"/>
      <c r="N468" s="217"/>
    </row>
    <row r="469" spans="1:14" ht="20" thickTop="1" thickBot="1" x14ac:dyDescent="0.35">
      <c r="A469" s="624"/>
      <c r="B469" s="182"/>
      <c r="C469" s="236"/>
      <c r="D469" s="241"/>
      <c r="E469" s="250" t="str">
        <f>E426</f>
        <v>CmO</v>
      </c>
      <c r="F469" s="250" t="str">
        <f>F426</f>
        <v>PmO</v>
      </c>
      <c r="G469" s="249" t="str">
        <f>G426</f>
        <v>F&amp;BCmO</v>
      </c>
      <c r="H469" s="248" t="str">
        <f>H426</f>
        <v>BmO</v>
      </c>
      <c r="I469" s="247"/>
      <c r="J469" s="182"/>
      <c r="K469" s="182"/>
      <c r="L469" s="231"/>
      <c r="M469" s="230"/>
      <c r="N469" s="217"/>
    </row>
    <row r="470" spans="1:14" ht="19" thickTop="1" x14ac:dyDescent="0.3">
      <c r="A470" s="624"/>
      <c r="B470" s="182"/>
      <c r="C470" s="236"/>
      <c r="D470" s="246" t="str">
        <f>D427</f>
        <v>OFFRE TOTALE AVEC LES GÂTERIES ET LES CAFÉS GÂTERIES</v>
      </c>
      <c r="E470" s="245"/>
      <c r="F470" s="245"/>
      <c r="G470" s="244"/>
      <c r="H470" s="243"/>
      <c r="I470" s="242"/>
      <c r="J470" s="182"/>
      <c r="K470" s="182"/>
      <c r="L470" s="231"/>
      <c r="M470" s="230"/>
      <c r="N470" s="217"/>
    </row>
    <row r="471" spans="1:14" ht="19" x14ac:dyDescent="0.35">
      <c r="A471" s="624"/>
      <c r="B471" s="182"/>
      <c r="C471" s="236"/>
      <c r="D471" s="241" t="str">
        <f>D428</f>
        <v>CmO—PmO—F&amp;B cost moyen offert—Marge brute</v>
      </c>
      <c r="E471" s="240">
        <f>+(E439+E440+E441+E442+E443+E444+E445+E446+E447+E448+E449+E450+E454+E455+E456+E457+E458+E459+E460+E461+E462+E463+E464+E465)/B465</f>
        <v>2.1649999999999996</v>
      </c>
      <c r="F471" s="240">
        <f>+(F439+F440+F441+F442+F443+F444+F445+F446+F447+F448+F449+F450+F454+F455+F456+F457+F458+F459+F460+F461+F462+F463+F464+F465)/B465</f>
        <v>7.1749999999999998</v>
      </c>
      <c r="G471" s="239">
        <f>E471/F471</f>
        <v>0.30174216027874562</v>
      </c>
      <c r="H471" s="240">
        <f>F471-E471</f>
        <v>5.01</v>
      </c>
      <c r="I471" s="237"/>
      <c r="J471" s="182"/>
      <c r="K471" s="182"/>
      <c r="L471" s="231">
        <f>L428</f>
        <v>2</v>
      </c>
      <c r="M471" s="230">
        <f>'% Occupation'!N19</f>
        <v>196</v>
      </c>
      <c r="N471" s="217"/>
    </row>
    <row r="472" spans="1:14" ht="18" x14ac:dyDescent="0.3">
      <c r="A472" s="624"/>
      <c r="B472" s="182"/>
      <c r="C472" s="236"/>
      <c r="D472" s="182"/>
      <c r="E472" s="235"/>
      <c r="F472" s="235"/>
      <c r="G472" s="234"/>
      <c r="H472" s="233"/>
      <c r="I472" s="232"/>
      <c r="J472" s="182"/>
      <c r="K472" s="182"/>
      <c r="L472" s="231"/>
      <c r="M472" s="230"/>
      <c r="N472" s="217"/>
    </row>
    <row r="473" spans="1:14" ht="19" thickBot="1" x14ac:dyDescent="0.35">
      <c r="A473" s="624"/>
      <c r="B473" s="182"/>
      <c r="C473" s="229"/>
      <c r="D473" s="228"/>
      <c r="E473" s="227"/>
      <c r="F473" s="227"/>
      <c r="G473" s="226"/>
      <c r="H473" s="225"/>
      <c r="I473" s="224"/>
      <c r="J473" s="182"/>
      <c r="K473" s="182"/>
      <c r="L473" s="223"/>
      <c r="M473" s="222"/>
      <c r="N473" s="217"/>
    </row>
    <row r="474" spans="1:14" ht="19" thickTop="1" x14ac:dyDescent="0.3">
      <c r="A474" s="624"/>
      <c r="L474" s="220"/>
      <c r="M474" s="218"/>
      <c r="N474" s="217"/>
    </row>
    <row r="475" spans="1:14" ht="23" x14ac:dyDescent="0.3">
      <c r="A475" s="624"/>
      <c r="D475" s="287" t="s">
        <v>87</v>
      </c>
      <c r="F475" s="283"/>
      <c r="L475" s="220"/>
      <c r="M475" s="218"/>
      <c r="N475" s="217"/>
    </row>
    <row r="476" spans="1:14" ht="24" thickBot="1" x14ac:dyDescent="0.35">
      <c r="A476" s="624"/>
      <c r="D476" s="285"/>
      <c r="L476" s="220"/>
      <c r="M476" s="218"/>
      <c r="N476" s="217"/>
    </row>
    <row r="477" spans="1:14" ht="23" customHeight="1" thickTop="1" x14ac:dyDescent="0.25">
      <c r="A477" s="624"/>
      <c r="D477" s="285"/>
      <c r="E477" s="604" t="str">
        <f>E434</f>
        <v>Coûts des ressources alimentaires pour chaque produit offert (voir recettes standardisées)</v>
      </c>
      <c r="F477" s="604" t="str">
        <f>F434</f>
        <v>Prix de vente par produit offert</v>
      </c>
      <c r="G477" s="604" t="str">
        <f>G434</f>
        <v xml:space="preserve">« Food &amp; Beverage Cost » </v>
      </c>
      <c r="H477" s="604" t="str">
        <f>H434</f>
        <v>Marge brute gagnée sur la vente de chaque produit offert</v>
      </c>
      <c r="I477" s="286"/>
      <c r="L477" s="613" t="s">
        <v>84</v>
      </c>
      <c r="M477" s="613" t="s">
        <v>83</v>
      </c>
      <c r="N477" s="217"/>
    </row>
    <row r="478" spans="1:14" ht="22" x14ac:dyDescent="0.25">
      <c r="A478" s="624"/>
      <c r="D478" s="285"/>
      <c r="E478" s="605"/>
      <c r="F478" s="607"/>
      <c r="G478" s="607"/>
      <c r="H478" s="607"/>
      <c r="I478" s="284"/>
      <c r="L478" s="614"/>
      <c r="M478" s="616"/>
      <c r="N478" s="217"/>
    </row>
    <row r="479" spans="1:14" ht="14" customHeight="1" thickBot="1" x14ac:dyDescent="0.25">
      <c r="A479" s="624"/>
      <c r="E479" s="606"/>
      <c r="F479" s="608"/>
      <c r="G479" s="608"/>
      <c r="H479" s="608"/>
      <c r="I479" s="284"/>
      <c r="L479" s="615"/>
      <c r="M479" s="617"/>
      <c r="N479" s="217"/>
    </row>
    <row r="480" spans="1:14" ht="20" thickTop="1" thickBot="1" x14ac:dyDescent="0.35">
      <c r="A480" s="624"/>
      <c r="B480" s="149" t="s">
        <v>1</v>
      </c>
      <c r="E480" s="283"/>
      <c r="F480" s="283"/>
      <c r="G480" s="282"/>
      <c r="L480" s="220"/>
      <c r="M480" s="218"/>
      <c r="N480" s="217"/>
    </row>
    <row r="481" spans="1:14" ht="19" thickTop="1" x14ac:dyDescent="0.3">
      <c r="A481" s="624"/>
      <c r="B481" s="182"/>
      <c r="C481" s="182"/>
      <c r="D481" s="241" t="str">
        <f t="shared" ref="D481:D494" si="105">D438</f>
        <v>Les Petite Gâteries</v>
      </c>
      <c r="E481" s="264"/>
      <c r="F481" s="264"/>
      <c r="G481" s="244"/>
      <c r="H481" s="182"/>
      <c r="I481" s="182"/>
      <c r="J481" s="182"/>
      <c r="K481" s="182"/>
      <c r="L481" s="281"/>
      <c r="M481" s="280"/>
      <c r="N481" s="217"/>
    </row>
    <row r="482" spans="1:14" ht="18" x14ac:dyDescent="0.3">
      <c r="A482" s="624"/>
      <c r="B482" s="182">
        <f t="shared" ref="B482:C493" si="106">B439</f>
        <v>1</v>
      </c>
      <c r="C482" s="182">
        <f t="shared" si="106"/>
        <v>1</v>
      </c>
      <c r="D482" s="182" t="str">
        <f t="shared" si="105"/>
        <v>Petite Gâterie 1</v>
      </c>
      <c r="E482" s="268">
        <f t="shared" ref="E482:F493" si="107">E439</f>
        <v>1.21</v>
      </c>
      <c r="F482" s="267">
        <f t="shared" si="107"/>
        <v>3.3</v>
      </c>
      <c r="G482" s="266">
        <f t="shared" ref="G482:G494" si="108">E482/F482</f>
        <v>0.3666666666666667</v>
      </c>
      <c r="H482" s="265">
        <f t="shared" ref="H482:H494" si="109">F482-E482</f>
        <v>2.09</v>
      </c>
      <c r="I482" s="264"/>
      <c r="J482" s="182"/>
      <c r="K482" s="182"/>
      <c r="L482" s="279"/>
      <c r="M482" s="230"/>
      <c r="N482" s="217"/>
    </row>
    <row r="483" spans="1:14" ht="18" x14ac:dyDescent="0.3">
      <c r="A483" s="624"/>
      <c r="B483" s="182">
        <f t="shared" si="106"/>
        <v>2</v>
      </c>
      <c r="C483" s="182">
        <f t="shared" si="106"/>
        <v>2</v>
      </c>
      <c r="D483" s="182" t="str">
        <f t="shared" si="105"/>
        <v>Petite Gâterie 2</v>
      </c>
      <c r="E483" s="268">
        <f t="shared" si="107"/>
        <v>1.31</v>
      </c>
      <c r="F483" s="267">
        <f t="shared" si="107"/>
        <v>3.8</v>
      </c>
      <c r="G483" s="266">
        <f t="shared" si="108"/>
        <v>0.34473684210526317</v>
      </c>
      <c r="H483" s="265">
        <f t="shared" si="109"/>
        <v>2.4899999999999998</v>
      </c>
      <c r="I483" s="264"/>
      <c r="J483" s="182"/>
      <c r="K483" s="182"/>
      <c r="L483" s="231"/>
      <c r="M483" s="230"/>
      <c r="N483" s="217"/>
    </row>
    <row r="484" spans="1:14" ht="18" x14ac:dyDescent="0.3">
      <c r="A484" s="624"/>
      <c r="B484" s="182">
        <f t="shared" si="106"/>
        <v>3</v>
      </c>
      <c r="C484" s="182">
        <f t="shared" si="106"/>
        <v>3</v>
      </c>
      <c r="D484" s="182" t="str">
        <f t="shared" si="105"/>
        <v>Petite Gâterie 3</v>
      </c>
      <c r="E484" s="268">
        <f t="shared" si="107"/>
        <v>1.35</v>
      </c>
      <c r="F484" s="267">
        <f t="shared" si="107"/>
        <v>4</v>
      </c>
      <c r="G484" s="266">
        <f t="shared" si="108"/>
        <v>0.33750000000000002</v>
      </c>
      <c r="H484" s="265">
        <f t="shared" si="109"/>
        <v>2.65</v>
      </c>
      <c r="I484" s="264"/>
      <c r="J484" s="182"/>
      <c r="K484" s="182"/>
      <c r="L484" s="231"/>
      <c r="M484" s="230"/>
      <c r="N484" s="217"/>
    </row>
    <row r="485" spans="1:14" ht="18" x14ac:dyDescent="0.3">
      <c r="A485" s="624"/>
      <c r="B485" s="182">
        <f t="shared" si="106"/>
        <v>4</v>
      </c>
      <c r="C485" s="182">
        <f t="shared" si="106"/>
        <v>4</v>
      </c>
      <c r="D485" s="182" t="str">
        <f t="shared" si="105"/>
        <v>Petite Gâterie 4</v>
      </c>
      <c r="E485" s="268">
        <f t="shared" si="107"/>
        <v>1.4</v>
      </c>
      <c r="F485" s="267">
        <f t="shared" si="107"/>
        <v>4.5</v>
      </c>
      <c r="G485" s="266">
        <f t="shared" si="108"/>
        <v>0.31111111111111112</v>
      </c>
      <c r="H485" s="265">
        <f t="shared" si="109"/>
        <v>3.1</v>
      </c>
      <c r="I485" s="264"/>
      <c r="J485" s="182"/>
      <c r="K485" s="182"/>
      <c r="L485" s="231"/>
      <c r="M485" s="230"/>
      <c r="N485" s="217"/>
    </row>
    <row r="486" spans="1:14" ht="18" x14ac:dyDescent="0.3">
      <c r="A486" s="624"/>
      <c r="B486" s="182">
        <f t="shared" si="106"/>
        <v>5</v>
      </c>
      <c r="C486" s="182">
        <f t="shared" si="106"/>
        <v>5</v>
      </c>
      <c r="D486" s="182" t="str">
        <f t="shared" si="105"/>
        <v>Petite Gâterie 5</v>
      </c>
      <c r="E486" s="268">
        <f t="shared" si="107"/>
        <v>1.24</v>
      </c>
      <c r="F486" s="267">
        <f t="shared" si="107"/>
        <v>4.5999999999999996</v>
      </c>
      <c r="G486" s="266">
        <f t="shared" si="108"/>
        <v>0.26956521739130435</v>
      </c>
      <c r="H486" s="265">
        <f t="shared" si="109"/>
        <v>3.3599999999999994</v>
      </c>
      <c r="I486" s="264"/>
      <c r="J486" s="182"/>
      <c r="K486" s="182"/>
      <c r="L486" s="231"/>
      <c r="M486" s="230"/>
      <c r="N486" s="217"/>
    </row>
    <row r="487" spans="1:14" ht="18" x14ac:dyDescent="0.3">
      <c r="A487" s="624"/>
      <c r="B487" s="182">
        <f t="shared" si="106"/>
        <v>6</v>
      </c>
      <c r="C487" s="182">
        <f t="shared" si="106"/>
        <v>6</v>
      </c>
      <c r="D487" s="182" t="str">
        <f t="shared" si="105"/>
        <v>Petite Gâterie 6</v>
      </c>
      <c r="E487" s="268">
        <f t="shared" si="107"/>
        <v>1.39</v>
      </c>
      <c r="F487" s="267">
        <f t="shared" si="107"/>
        <v>4.7</v>
      </c>
      <c r="G487" s="266">
        <f t="shared" si="108"/>
        <v>0.29574468085106381</v>
      </c>
      <c r="H487" s="265">
        <f t="shared" si="109"/>
        <v>3.3100000000000005</v>
      </c>
      <c r="I487" s="264"/>
      <c r="J487" s="182"/>
      <c r="K487" s="182"/>
      <c r="L487" s="231"/>
      <c r="M487" s="230"/>
      <c r="N487" s="217"/>
    </row>
    <row r="488" spans="1:14" ht="18" x14ac:dyDescent="0.3">
      <c r="A488" s="624"/>
      <c r="B488" s="182">
        <f t="shared" si="106"/>
        <v>7</v>
      </c>
      <c r="C488" s="182">
        <f t="shared" si="106"/>
        <v>7</v>
      </c>
      <c r="D488" s="182" t="str">
        <f t="shared" si="105"/>
        <v>Petite Gâterie 7</v>
      </c>
      <c r="E488" s="268">
        <f t="shared" si="107"/>
        <v>1.51</v>
      </c>
      <c r="F488" s="267">
        <f t="shared" si="107"/>
        <v>4.8</v>
      </c>
      <c r="G488" s="266">
        <f t="shared" si="108"/>
        <v>0.31458333333333333</v>
      </c>
      <c r="H488" s="265">
        <f t="shared" si="109"/>
        <v>3.29</v>
      </c>
      <c r="I488" s="264"/>
      <c r="J488" s="182"/>
      <c r="K488" s="182"/>
      <c r="L488" s="231"/>
      <c r="M488" s="230"/>
      <c r="N488" s="217"/>
    </row>
    <row r="489" spans="1:14" ht="18" x14ac:dyDescent="0.3">
      <c r="A489" s="624"/>
      <c r="B489" s="182">
        <f t="shared" si="106"/>
        <v>8</v>
      </c>
      <c r="C489" s="182">
        <f t="shared" si="106"/>
        <v>8</v>
      </c>
      <c r="D489" s="182" t="str">
        <f t="shared" si="105"/>
        <v>Petite Gâterie 8</v>
      </c>
      <c r="E489" s="268">
        <f t="shared" si="107"/>
        <v>1.53</v>
      </c>
      <c r="F489" s="267">
        <f t="shared" si="107"/>
        <v>4.9000000000000004</v>
      </c>
      <c r="G489" s="266">
        <f t="shared" si="108"/>
        <v>0.31224489795918364</v>
      </c>
      <c r="H489" s="265">
        <f t="shared" si="109"/>
        <v>3.37</v>
      </c>
      <c r="I489" s="264"/>
      <c r="J489" s="182"/>
      <c r="K489" s="182"/>
      <c r="L489" s="231"/>
      <c r="M489" s="230"/>
      <c r="N489" s="217"/>
    </row>
    <row r="490" spans="1:14" ht="18" x14ac:dyDescent="0.3">
      <c r="A490" s="624"/>
      <c r="B490" s="182">
        <f t="shared" si="106"/>
        <v>9</v>
      </c>
      <c r="C490" s="182">
        <f t="shared" si="106"/>
        <v>9</v>
      </c>
      <c r="D490" s="182" t="str">
        <f t="shared" si="105"/>
        <v>Petite Gâterie 9</v>
      </c>
      <c r="E490" s="268">
        <f t="shared" si="107"/>
        <v>1.55</v>
      </c>
      <c r="F490" s="267">
        <f t="shared" si="107"/>
        <v>5</v>
      </c>
      <c r="G490" s="266">
        <f t="shared" si="108"/>
        <v>0.31</v>
      </c>
      <c r="H490" s="265">
        <f t="shared" si="109"/>
        <v>3.45</v>
      </c>
      <c r="I490" s="264"/>
      <c r="J490" s="182"/>
      <c r="K490" s="182"/>
      <c r="L490" s="231"/>
      <c r="M490" s="230"/>
      <c r="N490" s="217"/>
    </row>
    <row r="491" spans="1:14" ht="18" x14ac:dyDescent="0.3">
      <c r="A491" s="624"/>
      <c r="B491" s="182">
        <f t="shared" si="106"/>
        <v>10</v>
      </c>
      <c r="C491" s="182">
        <f t="shared" si="106"/>
        <v>10</v>
      </c>
      <c r="D491" s="182" t="str">
        <f t="shared" si="105"/>
        <v>Petite Gâterie 10</v>
      </c>
      <c r="E491" s="268">
        <f t="shared" si="107"/>
        <v>1.59</v>
      </c>
      <c r="F491" s="267">
        <f t="shared" si="107"/>
        <v>5.2</v>
      </c>
      <c r="G491" s="266">
        <f t="shared" si="108"/>
        <v>0.30576923076923079</v>
      </c>
      <c r="H491" s="265">
        <f t="shared" si="109"/>
        <v>3.6100000000000003</v>
      </c>
      <c r="I491" s="264"/>
      <c r="J491" s="182"/>
      <c r="K491" s="182"/>
      <c r="L491" s="231"/>
      <c r="M491" s="230"/>
      <c r="N491" s="217"/>
    </row>
    <row r="492" spans="1:14" ht="18" x14ac:dyDescent="0.3">
      <c r="A492" s="624"/>
      <c r="B492" s="182">
        <f t="shared" si="106"/>
        <v>11</v>
      </c>
      <c r="C492" s="182">
        <f t="shared" si="106"/>
        <v>11</v>
      </c>
      <c r="D492" s="182" t="str">
        <f t="shared" si="105"/>
        <v>Petite Gâterie 11</v>
      </c>
      <c r="E492" s="268">
        <f t="shared" si="107"/>
        <v>1.83</v>
      </c>
      <c r="F492" s="267">
        <f t="shared" si="107"/>
        <v>6.4</v>
      </c>
      <c r="G492" s="266">
        <f t="shared" si="108"/>
        <v>0.28593750000000001</v>
      </c>
      <c r="H492" s="265">
        <f t="shared" si="109"/>
        <v>4.57</v>
      </c>
      <c r="I492" s="264"/>
      <c r="J492" s="182"/>
      <c r="K492" s="182"/>
      <c r="L492" s="231"/>
      <c r="M492" s="230"/>
      <c r="N492" s="217"/>
    </row>
    <row r="493" spans="1:14" ht="18" x14ac:dyDescent="0.3">
      <c r="A493" s="624"/>
      <c r="B493" s="182">
        <f t="shared" si="106"/>
        <v>12</v>
      </c>
      <c r="C493" s="182">
        <f t="shared" si="106"/>
        <v>12</v>
      </c>
      <c r="D493" s="182" t="str">
        <f t="shared" si="105"/>
        <v>Petite Gâterie 12</v>
      </c>
      <c r="E493" s="268">
        <f t="shared" si="107"/>
        <v>1.87</v>
      </c>
      <c r="F493" s="267">
        <f t="shared" si="107"/>
        <v>6.6</v>
      </c>
      <c r="G493" s="266">
        <f t="shared" si="108"/>
        <v>0.28333333333333338</v>
      </c>
      <c r="H493" s="265">
        <f t="shared" si="109"/>
        <v>4.7299999999999995</v>
      </c>
      <c r="I493" s="264"/>
      <c r="J493" s="182"/>
      <c r="K493" s="182"/>
      <c r="L493" s="231"/>
      <c r="M493" s="230"/>
      <c r="N493" s="217"/>
    </row>
    <row r="494" spans="1:14" ht="19" x14ac:dyDescent="0.35">
      <c r="A494" s="624"/>
      <c r="B494" s="182"/>
      <c r="C494" s="182"/>
      <c r="D494" s="241" t="str">
        <f t="shared" si="105"/>
        <v>CmO—PmO—Food Cost—BmO</v>
      </c>
      <c r="E494" s="262">
        <f>SUM(E482:E493)/C493</f>
        <v>1.4816666666666667</v>
      </c>
      <c r="F494" s="262">
        <f>SUM(F482:F493)/C493</f>
        <v>4.8166666666666673</v>
      </c>
      <c r="G494" s="277">
        <f t="shared" si="108"/>
        <v>0.30761245674740478</v>
      </c>
      <c r="H494" s="260">
        <f t="shared" si="109"/>
        <v>3.3350000000000009</v>
      </c>
      <c r="I494" s="259"/>
      <c r="J494" s="182"/>
      <c r="K494" s="182"/>
      <c r="L494" s="291">
        <v>1</v>
      </c>
      <c r="M494" s="230" t="s">
        <v>1</v>
      </c>
      <c r="N494" s="217"/>
    </row>
    <row r="495" spans="1:14" ht="18" x14ac:dyDescent="0.3">
      <c r="A495" s="624"/>
      <c r="B495" s="182" t="s">
        <v>1</v>
      </c>
      <c r="C495" s="182"/>
      <c r="D495" s="182"/>
      <c r="E495" s="245"/>
      <c r="F495" s="245"/>
      <c r="G495" s="266"/>
      <c r="H495" s="243"/>
      <c r="I495" s="182"/>
      <c r="J495" s="182"/>
      <c r="K495" s="182"/>
      <c r="L495" s="231"/>
      <c r="M495" s="230"/>
      <c r="N495" s="217"/>
    </row>
    <row r="496" spans="1:14" ht="18" x14ac:dyDescent="0.3">
      <c r="A496" s="624"/>
      <c r="B496" s="182"/>
      <c r="C496" s="182"/>
      <c r="D496" s="241" t="str">
        <f t="shared" ref="D496:D509" si="110">D453</f>
        <v>Les Boissons  Gâteries</v>
      </c>
      <c r="E496" s="245"/>
      <c r="F496" s="245"/>
      <c r="G496" s="266"/>
      <c r="H496" s="243"/>
      <c r="I496" s="182"/>
      <c r="J496" s="182"/>
      <c r="K496" s="182"/>
      <c r="L496" s="231"/>
      <c r="M496" s="230"/>
      <c r="N496" s="217"/>
    </row>
    <row r="497" spans="1:14" ht="18" x14ac:dyDescent="0.3">
      <c r="A497" s="624"/>
      <c r="B497" s="182">
        <f t="shared" ref="B497:C508" si="111">B454</f>
        <v>13</v>
      </c>
      <c r="C497" s="182">
        <f t="shared" si="111"/>
        <v>1</v>
      </c>
      <c r="D497" s="182" t="str">
        <f t="shared" si="110"/>
        <v>Boisson spécial numéro 1</v>
      </c>
      <c r="E497" s="268">
        <f t="shared" ref="E497:F508" si="112">E454</f>
        <v>2.2799999999999998</v>
      </c>
      <c r="F497" s="267">
        <f t="shared" si="112"/>
        <v>6.6</v>
      </c>
      <c r="G497" s="266">
        <f t="shared" ref="G497:G509" si="113">E497/F497</f>
        <v>0.34545454545454546</v>
      </c>
      <c r="H497" s="265">
        <f t="shared" ref="H497:H509" si="114">F497-E497</f>
        <v>4.32</v>
      </c>
      <c r="I497" s="264"/>
      <c r="J497" s="182"/>
      <c r="K497" s="182"/>
      <c r="L497" s="231"/>
      <c r="M497" s="230"/>
      <c r="N497" s="217"/>
    </row>
    <row r="498" spans="1:14" ht="18" x14ac:dyDescent="0.3">
      <c r="A498" s="624"/>
      <c r="B498" s="182">
        <f t="shared" si="111"/>
        <v>14</v>
      </c>
      <c r="C498" s="182">
        <f t="shared" si="111"/>
        <v>2</v>
      </c>
      <c r="D498" s="182" t="str">
        <f t="shared" si="110"/>
        <v>Boisson spécial numéro 2</v>
      </c>
      <c r="E498" s="268">
        <f t="shared" si="112"/>
        <v>2.66</v>
      </c>
      <c r="F498" s="267">
        <f t="shared" si="112"/>
        <v>7.6</v>
      </c>
      <c r="G498" s="266">
        <f t="shared" si="113"/>
        <v>0.35000000000000003</v>
      </c>
      <c r="H498" s="265">
        <f t="shared" si="114"/>
        <v>4.9399999999999995</v>
      </c>
      <c r="I498" s="264"/>
      <c r="J498" s="182"/>
      <c r="K498" s="182"/>
      <c r="L498" s="231"/>
      <c r="M498" s="230"/>
      <c r="N498" s="217"/>
    </row>
    <row r="499" spans="1:14" ht="18" x14ac:dyDescent="0.3">
      <c r="A499" s="624"/>
      <c r="B499" s="182">
        <f t="shared" si="111"/>
        <v>15</v>
      </c>
      <c r="C499" s="182">
        <f t="shared" si="111"/>
        <v>3</v>
      </c>
      <c r="D499" s="182" t="str">
        <f t="shared" si="110"/>
        <v>Boisson spécial numéro 3</v>
      </c>
      <c r="E499" s="268">
        <f t="shared" si="112"/>
        <v>2.74</v>
      </c>
      <c r="F499" s="267">
        <f t="shared" si="112"/>
        <v>8</v>
      </c>
      <c r="G499" s="266">
        <f t="shared" si="113"/>
        <v>0.34250000000000003</v>
      </c>
      <c r="H499" s="265">
        <f t="shared" si="114"/>
        <v>5.26</v>
      </c>
      <c r="I499" s="264"/>
      <c r="J499" s="182"/>
      <c r="K499" s="182"/>
      <c r="L499" s="231"/>
      <c r="M499" s="230"/>
      <c r="N499" s="217"/>
    </row>
    <row r="500" spans="1:14" ht="18" x14ac:dyDescent="0.3">
      <c r="A500" s="624"/>
      <c r="B500" s="182">
        <f t="shared" si="111"/>
        <v>16</v>
      </c>
      <c r="C500" s="182">
        <f t="shared" si="111"/>
        <v>4</v>
      </c>
      <c r="D500" s="182" t="str">
        <f t="shared" si="110"/>
        <v>Boisson spécial numéro 4</v>
      </c>
      <c r="E500" s="268">
        <f t="shared" si="112"/>
        <v>2.72</v>
      </c>
      <c r="F500" s="267">
        <f t="shared" si="112"/>
        <v>9</v>
      </c>
      <c r="G500" s="266">
        <f t="shared" si="113"/>
        <v>0.30222222222222223</v>
      </c>
      <c r="H500" s="265">
        <f t="shared" si="114"/>
        <v>6.2799999999999994</v>
      </c>
      <c r="I500" s="264"/>
      <c r="J500" s="182"/>
      <c r="K500" s="182"/>
      <c r="L500" s="231"/>
      <c r="M500" s="230"/>
      <c r="N500" s="217"/>
    </row>
    <row r="501" spans="1:14" ht="18" x14ac:dyDescent="0.3">
      <c r="A501" s="624"/>
      <c r="B501" s="182">
        <f t="shared" si="111"/>
        <v>17</v>
      </c>
      <c r="C501" s="182">
        <f t="shared" si="111"/>
        <v>5</v>
      </c>
      <c r="D501" s="182" t="str">
        <f t="shared" si="110"/>
        <v>Boisson spécial numéro 5</v>
      </c>
      <c r="E501" s="268">
        <f t="shared" si="112"/>
        <v>2.76</v>
      </c>
      <c r="F501" s="267">
        <f t="shared" si="112"/>
        <v>9.1999999999999993</v>
      </c>
      <c r="G501" s="266">
        <f t="shared" si="113"/>
        <v>0.3</v>
      </c>
      <c r="H501" s="265">
        <f t="shared" si="114"/>
        <v>6.4399999999999995</v>
      </c>
      <c r="I501" s="264"/>
      <c r="J501" s="182"/>
      <c r="K501" s="182"/>
      <c r="L501" s="231"/>
      <c r="M501" s="230"/>
      <c r="N501" s="217"/>
    </row>
    <row r="502" spans="1:14" ht="18" x14ac:dyDescent="0.3">
      <c r="A502" s="624"/>
      <c r="B502" s="182">
        <f t="shared" si="111"/>
        <v>18</v>
      </c>
      <c r="C502" s="182">
        <f t="shared" si="111"/>
        <v>6</v>
      </c>
      <c r="D502" s="182" t="str">
        <f t="shared" si="110"/>
        <v>Boisson spécial numéro 6</v>
      </c>
      <c r="E502" s="268">
        <f t="shared" si="112"/>
        <v>2.8</v>
      </c>
      <c r="F502" s="267">
        <f t="shared" si="112"/>
        <v>9.4</v>
      </c>
      <c r="G502" s="266">
        <f t="shared" si="113"/>
        <v>0.2978723404255319</v>
      </c>
      <c r="H502" s="265">
        <f t="shared" si="114"/>
        <v>6.6000000000000005</v>
      </c>
      <c r="I502" s="264"/>
      <c r="J502" s="182"/>
      <c r="K502" s="182"/>
      <c r="L502" s="231"/>
      <c r="M502" s="230"/>
      <c r="N502" s="217"/>
    </row>
    <row r="503" spans="1:14" ht="18" x14ac:dyDescent="0.3">
      <c r="A503" s="624"/>
      <c r="B503" s="182">
        <f t="shared" si="111"/>
        <v>19</v>
      </c>
      <c r="C503" s="182">
        <f t="shared" si="111"/>
        <v>7</v>
      </c>
      <c r="D503" s="182" t="str">
        <f t="shared" si="110"/>
        <v>Boisson spécial numéro 7</v>
      </c>
      <c r="E503" s="268">
        <f t="shared" si="112"/>
        <v>2.82</v>
      </c>
      <c r="F503" s="267">
        <f t="shared" si="112"/>
        <v>9.6</v>
      </c>
      <c r="G503" s="266">
        <f t="shared" si="113"/>
        <v>0.29375000000000001</v>
      </c>
      <c r="H503" s="265">
        <f t="shared" si="114"/>
        <v>6.7799999999999994</v>
      </c>
      <c r="I503" s="264"/>
      <c r="J503" s="182"/>
      <c r="K503" s="182"/>
      <c r="L503" s="231"/>
      <c r="M503" s="230"/>
      <c r="N503" s="217"/>
    </row>
    <row r="504" spans="1:14" ht="18" x14ac:dyDescent="0.3">
      <c r="A504" s="624"/>
      <c r="B504" s="182">
        <f t="shared" si="111"/>
        <v>20</v>
      </c>
      <c r="C504" s="182">
        <f t="shared" si="111"/>
        <v>8</v>
      </c>
      <c r="D504" s="182" t="str">
        <f t="shared" si="110"/>
        <v>Boisson spécial numéro 8</v>
      </c>
      <c r="E504" s="268">
        <f t="shared" si="112"/>
        <v>2.86</v>
      </c>
      <c r="F504" s="267">
        <f t="shared" si="112"/>
        <v>9.8000000000000007</v>
      </c>
      <c r="G504" s="266">
        <f t="shared" si="113"/>
        <v>0.2918367346938775</v>
      </c>
      <c r="H504" s="265">
        <f t="shared" si="114"/>
        <v>6.9400000000000013</v>
      </c>
      <c r="I504" s="264"/>
      <c r="J504" s="182"/>
      <c r="K504" s="182"/>
      <c r="L504" s="231"/>
      <c r="M504" s="230"/>
      <c r="N504" s="217"/>
    </row>
    <row r="505" spans="1:14" ht="18" x14ac:dyDescent="0.3">
      <c r="A505" s="624"/>
      <c r="B505" s="182">
        <f t="shared" si="111"/>
        <v>21</v>
      </c>
      <c r="C505" s="182">
        <f t="shared" si="111"/>
        <v>9</v>
      </c>
      <c r="D505" s="182" t="str">
        <f t="shared" si="110"/>
        <v>Boisson spécial numéro 9</v>
      </c>
      <c r="E505" s="268">
        <f t="shared" si="112"/>
        <v>2.9</v>
      </c>
      <c r="F505" s="267">
        <f t="shared" si="112"/>
        <v>10</v>
      </c>
      <c r="G505" s="266">
        <f t="shared" si="113"/>
        <v>0.28999999999999998</v>
      </c>
      <c r="H505" s="265">
        <f t="shared" si="114"/>
        <v>7.1</v>
      </c>
      <c r="I505" s="264"/>
      <c r="J505" s="182"/>
      <c r="K505" s="182"/>
      <c r="L505" s="231"/>
      <c r="M505" s="230"/>
      <c r="N505" s="217"/>
    </row>
    <row r="506" spans="1:14" ht="18" x14ac:dyDescent="0.3">
      <c r="A506" s="624"/>
      <c r="B506" s="182">
        <f t="shared" si="111"/>
        <v>22</v>
      </c>
      <c r="C506" s="182">
        <f t="shared" si="111"/>
        <v>10</v>
      </c>
      <c r="D506" s="182" t="str">
        <f t="shared" si="110"/>
        <v>Boisson spécial numéro 10</v>
      </c>
      <c r="E506" s="268">
        <f t="shared" si="112"/>
        <v>2.98</v>
      </c>
      <c r="F506" s="267">
        <f t="shared" si="112"/>
        <v>10.4</v>
      </c>
      <c r="G506" s="266">
        <f t="shared" si="113"/>
        <v>0.28653846153846152</v>
      </c>
      <c r="H506" s="265">
        <f t="shared" si="114"/>
        <v>7.42</v>
      </c>
      <c r="I506" s="264"/>
      <c r="J506" s="182"/>
      <c r="K506" s="182"/>
      <c r="L506" s="231"/>
      <c r="M506" s="230"/>
      <c r="N506" s="217"/>
    </row>
    <row r="507" spans="1:14" ht="18" x14ac:dyDescent="0.3">
      <c r="A507" s="624"/>
      <c r="B507" s="182">
        <f t="shared" si="111"/>
        <v>23</v>
      </c>
      <c r="C507" s="182">
        <f t="shared" si="111"/>
        <v>11</v>
      </c>
      <c r="D507" s="182" t="str">
        <f t="shared" si="110"/>
        <v>Boisson spécial numéro 11</v>
      </c>
      <c r="E507" s="268">
        <f t="shared" si="112"/>
        <v>3.18</v>
      </c>
      <c r="F507" s="267">
        <f t="shared" si="112"/>
        <v>11.6</v>
      </c>
      <c r="G507" s="266">
        <f t="shared" si="113"/>
        <v>0.27413793103448281</v>
      </c>
      <c r="H507" s="265">
        <f t="shared" si="114"/>
        <v>8.42</v>
      </c>
      <c r="I507" s="264"/>
      <c r="J507" s="182"/>
      <c r="K507" s="182"/>
      <c r="L507" s="231"/>
      <c r="M507" s="230"/>
      <c r="N507" s="217"/>
    </row>
    <row r="508" spans="1:14" ht="18" x14ac:dyDescent="0.3">
      <c r="A508" s="624"/>
      <c r="B508" s="182">
        <f t="shared" si="111"/>
        <v>24</v>
      </c>
      <c r="C508" s="182">
        <f t="shared" si="111"/>
        <v>12</v>
      </c>
      <c r="D508" s="182" t="str">
        <f t="shared" si="110"/>
        <v>Boisson spécial numéro 12</v>
      </c>
      <c r="E508" s="268">
        <f t="shared" si="112"/>
        <v>3.48</v>
      </c>
      <c r="F508" s="267">
        <f t="shared" si="112"/>
        <v>13.2</v>
      </c>
      <c r="G508" s="266">
        <f t="shared" si="113"/>
        <v>0.26363636363636367</v>
      </c>
      <c r="H508" s="265">
        <f t="shared" si="114"/>
        <v>9.7199999999999989</v>
      </c>
      <c r="I508" s="264"/>
      <c r="J508" s="182"/>
      <c r="K508" s="182"/>
      <c r="L508" s="231"/>
      <c r="M508" s="230"/>
      <c r="N508" s="217"/>
    </row>
    <row r="509" spans="1:14" ht="19" x14ac:dyDescent="0.35">
      <c r="A509" s="624"/>
      <c r="B509" s="182"/>
      <c r="C509" s="182"/>
      <c r="D509" s="241" t="str">
        <f t="shared" si="110"/>
        <v>CmO—PmO—Beverage Cost—Marge brute</v>
      </c>
      <c r="E509" s="262">
        <f>SUM(E497:E508)/C508</f>
        <v>2.8483333333333332</v>
      </c>
      <c r="F509" s="262">
        <f>SUM(F497:F508)/C508</f>
        <v>9.5333333333333332</v>
      </c>
      <c r="G509" s="261">
        <f t="shared" si="113"/>
        <v>0.29877622377622376</v>
      </c>
      <c r="H509" s="260">
        <f t="shared" si="114"/>
        <v>6.6850000000000005</v>
      </c>
      <c r="I509" s="259"/>
      <c r="J509" s="182"/>
      <c r="K509" s="182"/>
      <c r="L509" s="291">
        <v>1</v>
      </c>
      <c r="M509" s="230" t="s">
        <v>1</v>
      </c>
      <c r="N509" s="217"/>
    </row>
    <row r="510" spans="1:14" ht="19" thickBot="1" x14ac:dyDescent="0.35">
      <c r="A510" s="624"/>
      <c r="B510" s="182"/>
      <c r="C510" s="182"/>
      <c r="D510" s="182"/>
      <c r="E510" s="245"/>
      <c r="F510" s="245"/>
      <c r="G510" s="244"/>
      <c r="H510" s="243"/>
      <c r="I510" s="182"/>
      <c r="J510" s="182"/>
      <c r="K510" s="182"/>
      <c r="L510" s="231"/>
      <c r="M510" s="230"/>
      <c r="N510" s="217"/>
    </row>
    <row r="511" spans="1:14" ht="21" thickTop="1" thickBot="1" x14ac:dyDescent="0.4">
      <c r="A511" s="624"/>
      <c r="B511" s="182"/>
      <c r="C511" s="256"/>
      <c r="D511" s="255"/>
      <c r="E511" s="254"/>
      <c r="F511" s="254"/>
      <c r="G511" s="253"/>
      <c r="H511" s="252"/>
      <c r="I511" s="251"/>
      <c r="J511" s="182"/>
      <c r="K511" s="182"/>
      <c r="L511" s="231"/>
      <c r="M511" s="230"/>
      <c r="N511" s="217"/>
    </row>
    <row r="512" spans="1:14" ht="20" thickTop="1" thickBot="1" x14ac:dyDescent="0.35">
      <c r="A512" s="624"/>
      <c r="B512" s="182"/>
      <c r="C512" s="236"/>
      <c r="D512" s="241"/>
      <c r="E512" s="250" t="str">
        <f>E469</f>
        <v>CmO</v>
      </c>
      <c r="F512" s="250" t="str">
        <f>F469</f>
        <v>PmO</v>
      </c>
      <c r="G512" s="249" t="str">
        <f>G469</f>
        <v>F&amp;BCmO</v>
      </c>
      <c r="H512" s="248" t="str">
        <f>H469</f>
        <v>BmO</v>
      </c>
      <c r="I512" s="247"/>
      <c r="J512" s="182"/>
      <c r="K512" s="182"/>
      <c r="L512" s="231"/>
      <c r="M512" s="230"/>
      <c r="N512" s="217"/>
    </row>
    <row r="513" spans="1:14" ht="19" thickTop="1" x14ac:dyDescent="0.3">
      <c r="A513" s="624"/>
      <c r="B513" s="182"/>
      <c r="C513" s="236"/>
      <c r="D513" s="246" t="str">
        <f>D470</f>
        <v>OFFRE TOTALE AVEC LES GÂTERIES ET LES CAFÉS GÂTERIES</v>
      </c>
      <c r="E513" s="245"/>
      <c r="F513" s="245"/>
      <c r="G513" s="244"/>
      <c r="H513" s="243"/>
      <c r="I513" s="242"/>
      <c r="J513" s="182"/>
      <c r="K513" s="182"/>
      <c r="L513" s="231"/>
      <c r="M513" s="230"/>
      <c r="N513" s="217"/>
    </row>
    <row r="514" spans="1:14" ht="19" x14ac:dyDescent="0.35">
      <c r="A514" s="624"/>
      <c r="B514" s="182"/>
      <c r="C514" s="236"/>
      <c r="D514" s="241" t="str">
        <f>D471</f>
        <v>CmO—PmO—F&amp;B cost moyen offert—Marge brute</v>
      </c>
      <c r="E514" s="240">
        <f>+(E482+E483+E484+E485+E486+E487+E488+E489+E490+E491+E492+E493+E497+E498+E499+E500+E501+E502+E503+E504+E505+E506+E507+E508)/B508</f>
        <v>2.1649999999999996</v>
      </c>
      <c r="F514" s="240">
        <f>+(F482+F483+F484+F485+F486+F487+F488+F489+F490+F491+F492+F493+F497+F498+F499+F500+F501+F502+F503+F504+F505+F506+F507+F508)/B508</f>
        <v>7.1749999999999998</v>
      </c>
      <c r="G514" s="239">
        <f>E514/F514</f>
        <v>0.30174216027874562</v>
      </c>
      <c r="H514" s="238">
        <f>F514-E514</f>
        <v>5.01</v>
      </c>
      <c r="I514" s="237"/>
      <c r="J514" s="182"/>
      <c r="K514" s="182"/>
      <c r="L514" s="231">
        <f>L471</f>
        <v>2</v>
      </c>
      <c r="M514" s="230">
        <f>'% Occupation'!O19</f>
        <v>196</v>
      </c>
      <c r="N514" s="217"/>
    </row>
    <row r="515" spans="1:14" ht="18" x14ac:dyDescent="0.3">
      <c r="A515" s="624"/>
      <c r="B515" s="182"/>
      <c r="C515" s="236"/>
      <c r="D515" s="182"/>
      <c r="E515" s="235"/>
      <c r="F515" s="235"/>
      <c r="G515" s="234"/>
      <c r="H515" s="233"/>
      <c r="I515" s="232"/>
      <c r="J515" s="182"/>
      <c r="K515" s="182"/>
      <c r="L515" s="231"/>
      <c r="M515" s="230"/>
      <c r="N515" s="217"/>
    </row>
    <row r="516" spans="1:14" ht="19" thickBot="1" x14ac:dyDescent="0.35">
      <c r="A516" s="625"/>
      <c r="B516" s="182"/>
      <c r="C516" s="229"/>
      <c r="D516" s="228"/>
      <c r="E516" s="227"/>
      <c r="F516" s="227"/>
      <c r="G516" s="226"/>
      <c r="H516" s="225"/>
      <c r="I516" s="224"/>
      <c r="J516" s="182"/>
      <c r="K516" s="182"/>
      <c r="L516" s="223"/>
      <c r="M516" s="222"/>
      <c r="N516" s="217"/>
    </row>
    <row r="517" spans="1:14" ht="19" thickTop="1" x14ac:dyDescent="0.3">
      <c r="A517" s="290"/>
      <c r="B517" s="182"/>
      <c r="C517" s="182"/>
      <c r="D517" s="246"/>
      <c r="E517" s="235"/>
      <c r="F517" s="235"/>
      <c r="G517" s="234"/>
      <c r="H517" s="233"/>
      <c r="I517" s="233"/>
      <c r="J517" s="182"/>
      <c r="K517" s="182"/>
      <c r="L517" s="289"/>
      <c r="M517" s="288"/>
      <c r="N517" s="217"/>
    </row>
    <row r="518" spans="1:14" ht="23" x14ac:dyDescent="0.3">
      <c r="A518" s="290"/>
      <c r="D518" s="287" t="s">
        <v>86</v>
      </c>
      <c r="F518" s="283"/>
      <c r="L518" s="220"/>
      <c r="M518" s="218"/>
      <c r="N518" s="217"/>
    </row>
    <row r="519" spans="1:14" ht="24" thickBot="1" x14ac:dyDescent="0.35">
      <c r="A519" s="290"/>
      <c r="D519" s="285"/>
      <c r="L519" s="220"/>
      <c r="M519" s="218"/>
      <c r="N519" s="217"/>
    </row>
    <row r="520" spans="1:14" ht="23" thickTop="1" x14ac:dyDescent="0.25">
      <c r="A520" s="290"/>
      <c r="D520" s="285"/>
      <c r="E520" s="604" t="str">
        <f>E477</f>
        <v>Coûts des ressources alimentaires pour chaque produit offert (voir recettes standardisées)</v>
      </c>
      <c r="F520" s="604" t="str">
        <f>F477</f>
        <v>Prix de vente par produit offert</v>
      </c>
      <c r="G520" s="604" t="str">
        <f>G477</f>
        <v xml:space="preserve">« Food &amp; Beverage Cost » </v>
      </c>
      <c r="H520" s="604" t="str">
        <f>H477</f>
        <v>Marge brute gagnée sur la vente de chaque produit offert</v>
      </c>
      <c r="I520" s="286"/>
      <c r="L520" s="613" t="s">
        <v>84</v>
      </c>
      <c r="M520" s="613" t="s">
        <v>83</v>
      </c>
      <c r="N520" s="217"/>
    </row>
    <row r="521" spans="1:14" ht="22" x14ac:dyDescent="0.25">
      <c r="A521" s="290"/>
      <c r="D521" s="285"/>
      <c r="E521" s="605"/>
      <c r="F521" s="607"/>
      <c r="G521" s="607"/>
      <c r="H521" s="607"/>
      <c r="I521" s="284"/>
      <c r="L521" s="614"/>
      <c r="M521" s="616"/>
      <c r="N521" s="217"/>
    </row>
    <row r="522" spans="1:14" ht="17" thickBot="1" x14ac:dyDescent="0.25">
      <c r="A522" s="290"/>
      <c r="E522" s="606"/>
      <c r="F522" s="608"/>
      <c r="G522" s="608"/>
      <c r="H522" s="608"/>
      <c r="I522" s="284"/>
      <c r="L522" s="615"/>
      <c r="M522" s="617"/>
      <c r="N522" s="217"/>
    </row>
    <row r="523" spans="1:14" ht="20" thickTop="1" thickBot="1" x14ac:dyDescent="0.35">
      <c r="A523" s="290"/>
      <c r="B523" s="149" t="s">
        <v>1</v>
      </c>
      <c r="E523" s="283"/>
      <c r="F523" s="283"/>
      <c r="G523" s="282"/>
      <c r="L523" s="220"/>
      <c r="M523" s="218"/>
      <c r="N523" s="217"/>
    </row>
    <row r="524" spans="1:14" ht="19" thickTop="1" x14ac:dyDescent="0.3">
      <c r="A524" s="290"/>
      <c r="B524" s="182"/>
      <c r="C524" s="182"/>
      <c r="D524" s="241" t="str">
        <f t="shared" ref="D524:D536" si="115">D482</f>
        <v>Petite Gâterie 1</v>
      </c>
      <c r="E524" s="264"/>
      <c r="F524" s="264"/>
      <c r="G524" s="244"/>
      <c r="H524" s="182"/>
      <c r="I524" s="182"/>
      <c r="J524" s="182"/>
      <c r="K524" s="182"/>
      <c r="L524" s="281"/>
      <c r="M524" s="280"/>
      <c r="N524" s="217"/>
    </row>
    <row r="525" spans="1:14" ht="18" x14ac:dyDescent="0.3">
      <c r="A525" s="290"/>
      <c r="B525" s="182">
        <f t="shared" ref="B525:C536" si="116">B482</f>
        <v>1</v>
      </c>
      <c r="C525" s="182">
        <f t="shared" si="116"/>
        <v>1</v>
      </c>
      <c r="D525" s="182" t="str">
        <f t="shared" si="115"/>
        <v>Petite Gâterie 2</v>
      </c>
      <c r="E525" s="268">
        <f t="shared" ref="E525:F536" si="117">E482</f>
        <v>1.21</v>
      </c>
      <c r="F525" s="267">
        <f t="shared" si="117"/>
        <v>3.3</v>
      </c>
      <c r="G525" s="266">
        <f t="shared" ref="G525:G537" si="118">E525/F525</f>
        <v>0.3666666666666667</v>
      </c>
      <c r="H525" s="265">
        <f t="shared" ref="H525:H537" si="119">F525-E525</f>
        <v>2.09</v>
      </c>
      <c r="I525" s="264"/>
      <c r="J525" s="182"/>
      <c r="K525" s="182"/>
      <c r="L525" s="279"/>
      <c r="M525" s="230"/>
      <c r="N525" s="217"/>
    </row>
    <row r="526" spans="1:14" ht="18" x14ac:dyDescent="0.3">
      <c r="A526" s="290"/>
      <c r="B526" s="182">
        <f t="shared" si="116"/>
        <v>2</v>
      </c>
      <c r="C526" s="182">
        <f t="shared" si="116"/>
        <v>2</v>
      </c>
      <c r="D526" s="182" t="str">
        <f t="shared" si="115"/>
        <v>Petite Gâterie 3</v>
      </c>
      <c r="E526" s="268">
        <f t="shared" si="117"/>
        <v>1.31</v>
      </c>
      <c r="F526" s="267">
        <f t="shared" si="117"/>
        <v>3.8</v>
      </c>
      <c r="G526" s="266">
        <f t="shared" si="118"/>
        <v>0.34473684210526317</v>
      </c>
      <c r="H526" s="265">
        <f t="shared" si="119"/>
        <v>2.4899999999999998</v>
      </c>
      <c r="I526" s="264"/>
      <c r="J526" s="182"/>
      <c r="K526" s="182"/>
      <c r="L526" s="231"/>
      <c r="M526" s="230"/>
      <c r="N526" s="217"/>
    </row>
    <row r="527" spans="1:14" ht="18" x14ac:dyDescent="0.3">
      <c r="A527" s="290"/>
      <c r="B527" s="182">
        <f t="shared" si="116"/>
        <v>3</v>
      </c>
      <c r="C527" s="182">
        <f t="shared" si="116"/>
        <v>3</v>
      </c>
      <c r="D527" s="182" t="str">
        <f t="shared" si="115"/>
        <v>Petite Gâterie 4</v>
      </c>
      <c r="E527" s="268">
        <f t="shared" si="117"/>
        <v>1.35</v>
      </c>
      <c r="F527" s="267">
        <f t="shared" si="117"/>
        <v>4</v>
      </c>
      <c r="G527" s="266">
        <f t="shared" si="118"/>
        <v>0.33750000000000002</v>
      </c>
      <c r="H527" s="265">
        <f t="shared" si="119"/>
        <v>2.65</v>
      </c>
      <c r="I527" s="264"/>
      <c r="J527" s="182"/>
      <c r="K527" s="182"/>
      <c r="L527" s="231"/>
      <c r="M527" s="230"/>
      <c r="N527" s="217"/>
    </row>
    <row r="528" spans="1:14" ht="18" x14ac:dyDescent="0.3">
      <c r="A528" s="290"/>
      <c r="B528" s="182">
        <f t="shared" si="116"/>
        <v>4</v>
      </c>
      <c r="C528" s="182">
        <f t="shared" si="116"/>
        <v>4</v>
      </c>
      <c r="D528" s="182" t="str">
        <f t="shared" si="115"/>
        <v>Petite Gâterie 5</v>
      </c>
      <c r="E528" s="268">
        <f t="shared" si="117"/>
        <v>1.4</v>
      </c>
      <c r="F528" s="267">
        <f t="shared" si="117"/>
        <v>4.5</v>
      </c>
      <c r="G528" s="266">
        <f t="shared" si="118"/>
        <v>0.31111111111111112</v>
      </c>
      <c r="H528" s="265">
        <f t="shared" si="119"/>
        <v>3.1</v>
      </c>
      <c r="I528" s="264"/>
      <c r="J528" s="182"/>
      <c r="K528" s="182"/>
      <c r="L528" s="231"/>
      <c r="M528" s="230"/>
      <c r="N528" s="217"/>
    </row>
    <row r="529" spans="1:14" ht="18" x14ac:dyDescent="0.3">
      <c r="A529" s="290"/>
      <c r="B529" s="182">
        <f t="shared" si="116"/>
        <v>5</v>
      </c>
      <c r="C529" s="182">
        <f t="shared" si="116"/>
        <v>5</v>
      </c>
      <c r="D529" s="182" t="str">
        <f t="shared" si="115"/>
        <v>Petite Gâterie 6</v>
      </c>
      <c r="E529" s="268">
        <f t="shared" si="117"/>
        <v>1.24</v>
      </c>
      <c r="F529" s="267">
        <f t="shared" si="117"/>
        <v>4.5999999999999996</v>
      </c>
      <c r="G529" s="266">
        <f t="shared" si="118"/>
        <v>0.26956521739130435</v>
      </c>
      <c r="H529" s="265">
        <f t="shared" si="119"/>
        <v>3.3599999999999994</v>
      </c>
      <c r="I529" s="264"/>
      <c r="J529" s="182"/>
      <c r="K529" s="182"/>
      <c r="L529" s="231"/>
      <c r="M529" s="230"/>
      <c r="N529" s="217"/>
    </row>
    <row r="530" spans="1:14" ht="18" x14ac:dyDescent="0.3">
      <c r="A530" s="290"/>
      <c r="B530" s="182">
        <f t="shared" si="116"/>
        <v>6</v>
      </c>
      <c r="C530" s="182">
        <f t="shared" si="116"/>
        <v>6</v>
      </c>
      <c r="D530" s="182" t="str">
        <f t="shared" si="115"/>
        <v>Petite Gâterie 7</v>
      </c>
      <c r="E530" s="268">
        <f t="shared" si="117"/>
        <v>1.39</v>
      </c>
      <c r="F530" s="267">
        <f t="shared" si="117"/>
        <v>4.7</v>
      </c>
      <c r="G530" s="266">
        <f t="shared" si="118"/>
        <v>0.29574468085106381</v>
      </c>
      <c r="H530" s="265">
        <f t="shared" si="119"/>
        <v>3.3100000000000005</v>
      </c>
      <c r="I530" s="264"/>
      <c r="J530" s="182"/>
      <c r="K530" s="182"/>
      <c r="L530" s="231"/>
      <c r="M530" s="230"/>
      <c r="N530" s="217"/>
    </row>
    <row r="531" spans="1:14" ht="18" x14ac:dyDescent="0.3">
      <c r="A531" s="290"/>
      <c r="B531" s="182">
        <f t="shared" si="116"/>
        <v>7</v>
      </c>
      <c r="C531" s="182">
        <f t="shared" si="116"/>
        <v>7</v>
      </c>
      <c r="D531" s="182" t="str">
        <f t="shared" si="115"/>
        <v>Petite Gâterie 8</v>
      </c>
      <c r="E531" s="268">
        <f t="shared" si="117"/>
        <v>1.51</v>
      </c>
      <c r="F531" s="267">
        <f t="shared" si="117"/>
        <v>4.8</v>
      </c>
      <c r="G531" s="266">
        <f t="shared" si="118"/>
        <v>0.31458333333333333</v>
      </c>
      <c r="H531" s="265">
        <f t="shared" si="119"/>
        <v>3.29</v>
      </c>
      <c r="I531" s="264"/>
      <c r="J531" s="182"/>
      <c r="K531" s="182"/>
      <c r="L531" s="231"/>
      <c r="M531" s="230"/>
      <c r="N531" s="217"/>
    </row>
    <row r="532" spans="1:14" ht="18" x14ac:dyDescent="0.3">
      <c r="A532" s="290"/>
      <c r="B532" s="182">
        <f t="shared" si="116"/>
        <v>8</v>
      </c>
      <c r="C532" s="182">
        <f t="shared" si="116"/>
        <v>8</v>
      </c>
      <c r="D532" s="182" t="str">
        <f t="shared" si="115"/>
        <v>Petite Gâterie 9</v>
      </c>
      <c r="E532" s="268">
        <f t="shared" si="117"/>
        <v>1.53</v>
      </c>
      <c r="F532" s="267">
        <f t="shared" si="117"/>
        <v>4.9000000000000004</v>
      </c>
      <c r="G532" s="266">
        <f t="shared" si="118"/>
        <v>0.31224489795918364</v>
      </c>
      <c r="H532" s="265">
        <f t="shared" si="119"/>
        <v>3.37</v>
      </c>
      <c r="I532" s="264"/>
      <c r="J532" s="182"/>
      <c r="K532" s="182"/>
      <c r="L532" s="231"/>
      <c r="M532" s="230"/>
      <c r="N532" s="217"/>
    </row>
    <row r="533" spans="1:14" ht="18" x14ac:dyDescent="0.3">
      <c r="A533" s="290"/>
      <c r="B533" s="182">
        <f t="shared" si="116"/>
        <v>9</v>
      </c>
      <c r="C533" s="182">
        <f t="shared" si="116"/>
        <v>9</v>
      </c>
      <c r="D533" s="182" t="str">
        <f t="shared" si="115"/>
        <v>Petite Gâterie 10</v>
      </c>
      <c r="E533" s="268">
        <f t="shared" si="117"/>
        <v>1.55</v>
      </c>
      <c r="F533" s="267">
        <f t="shared" si="117"/>
        <v>5</v>
      </c>
      <c r="G533" s="266">
        <f t="shared" si="118"/>
        <v>0.31</v>
      </c>
      <c r="H533" s="265">
        <f t="shared" si="119"/>
        <v>3.45</v>
      </c>
      <c r="I533" s="264"/>
      <c r="J533" s="182"/>
      <c r="K533" s="182"/>
      <c r="L533" s="231"/>
      <c r="M533" s="230"/>
      <c r="N533" s="217"/>
    </row>
    <row r="534" spans="1:14" ht="18" x14ac:dyDescent="0.3">
      <c r="A534" s="290"/>
      <c r="B534" s="182">
        <f t="shared" si="116"/>
        <v>10</v>
      </c>
      <c r="C534" s="182">
        <f t="shared" si="116"/>
        <v>10</v>
      </c>
      <c r="D534" s="182" t="str">
        <f t="shared" si="115"/>
        <v>Petite Gâterie 11</v>
      </c>
      <c r="E534" s="268">
        <f t="shared" si="117"/>
        <v>1.59</v>
      </c>
      <c r="F534" s="267">
        <f t="shared" si="117"/>
        <v>5.2</v>
      </c>
      <c r="G534" s="266">
        <f t="shared" si="118"/>
        <v>0.30576923076923079</v>
      </c>
      <c r="H534" s="265">
        <f t="shared" si="119"/>
        <v>3.6100000000000003</v>
      </c>
      <c r="I534" s="264"/>
      <c r="J534" s="182"/>
      <c r="K534" s="182"/>
      <c r="L534" s="231"/>
      <c r="M534" s="230"/>
      <c r="N534" s="217"/>
    </row>
    <row r="535" spans="1:14" ht="18" x14ac:dyDescent="0.3">
      <c r="A535" s="290"/>
      <c r="B535" s="182">
        <f t="shared" si="116"/>
        <v>11</v>
      </c>
      <c r="C535" s="182">
        <f t="shared" si="116"/>
        <v>11</v>
      </c>
      <c r="D535" s="182" t="str">
        <f t="shared" si="115"/>
        <v>Petite Gâterie 12</v>
      </c>
      <c r="E535" s="268">
        <f t="shared" si="117"/>
        <v>1.83</v>
      </c>
      <c r="F535" s="267">
        <f t="shared" si="117"/>
        <v>6.4</v>
      </c>
      <c r="G535" s="266">
        <f t="shared" si="118"/>
        <v>0.28593750000000001</v>
      </c>
      <c r="H535" s="265">
        <f t="shared" si="119"/>
        <v>4.57</v>
      </c>
      <c r="I535" s="264"/>
      <c r="J535" s="182"/>
      <c r="K535" s="182"/>
      <c r="L535" s="231"/>
      <c r="M535" s="230"/>
      <c r="N535" s="217"/>
    </row>
    <row r="536" spans="1:14" ht="18" x14ac:dyDescent="0.3">
      <c r="A536" s="290"/>
      <c r="B536" s="182">
        <f t="shared" si="116"/>
        <v>12</v>
      </c>
      <c r="C536" s="182">
        <f t="shared" si="116"/>
        <v>12</v>
      </c>
      <c r="D536" s="182" t="str">
        <f t="shared" si="115"/>
        <v>CmO—PmO—Food Cost—BmO</v>
      </c>
      <c r="E536" s="268">
        <f t="shared" si="117"/>
        <v>1.87</v>
      </c>
      <c r="F536" s="267">
        <f t="shared" si="117"/>
        <v>6.6</v>
      </c>
      <c r="G536" s="266">
        <f t="shared" si="118"/>
        <v>0.28333333333333338</v>
      </c>
      <c r="H536" s="265">
        <f t="shared" si="119"/>
        <v>4.7299999999999995</v>
      </c>
      <c r="I536" s="264"/>
      <c r="J536" s="182"/>
      <c r="K536" s="182"/>
      <c r="L536" s="231"/>
      <c r="M536" s="230"/>
      <c r="N536" s="217"/>
    </row>
    <row r="537" spans="1:14" ht="19" x14ac:dyDescent="0.35">
      <c r="A537" s="290"/>
      <c r="B537" s="182"/>
      <c r="C537" s="182"/>
      <c r="D537" s="241" t="str">
        <f>D494</f>
        <v>CmO—PmO—Food Cost—BmO</v>
      </c>
      <c r="E537" s="262">
        <f>SUM(E525:E536)/C536</f>
        <v>1.4816666666666667</v>
      </c>
      <c r="F537" s="262">
        <f>SUM(F525:F536)/C536</f>
        <v>4.8166666666666673</v>
      </c>
      <c r="G537" s="277">
        <f t="shared" si="118"/>
        <v>0.30761245674740478</v>
      </c>
      <c r="H537" s="260">
        <f t="shared" si="119"/>
        <v>3.3350000000000009</v>
      </c>
      <c r="I537" s="259"/>
      <c r="J537" s="182"/>
      <c r="K537" s="182"/>
      <c r="L537" s="291">
        <v>1</v>
      </c>
      <c r="M537" s="230" t="s">
        <v>1</v>
      </c>
      <c r="N537" s="217"/>
    </row>
    <row r="538" spans="1:14" ht="18" x14ac:dyDescent="0.3">
      <c r="A538" s="290"/>
      <c r="B538" s="182" t="s">
        <v>1</v>
      </c>
      <c r="C538" s="182"/>
      <c r="D538" s="182"/>
      <c r="E538" s="245"/>
      <c r="F538" s="245"/>
      <c r="G538" s="266"/>
      <c r="H538" s="243"/>
      <c r="I538" s="182"/>
      <c r="J538" s="182"/>
      <c r="K538" s="182"/>
      <c r="L538" s="231"/>
      <c r="M538" s="230"/>
      <c r="N538" s="217"/>
    </row>
    <row r="539" spans="1:14" ht="18" x14ac:dyDescent="0.3">
      <c r="A539" s="290"/>
      <c r="B539" s="182"/>
      <c r="C539" s="182"/>
      <c r="D539" s="241" t="str">
        <f t="shared" ref="D539:D551" si="120">D497</f>
        <v>Boisson spécial numéro 1</v>
      </c>
      <c r="E539" s="245"/>
      <c r="F539" s="245"/>
      <c r="G539" s="266"/>
      <c r="H539" s="243"/>
      <c r="I539" s="182"/>
      <c r="J539" s="182"/>
      <c r="K539" s="182"/>
      <c r="L539" s="231"/>
      <c r="M539" s="230"/>
      <c r="N539" s="217"/>
    </row>
    <row r="540" spans="1:14" ht="18" x14ac:dyDescent="0.3">
      <c r="A540" s="290"/>
      <c r="B540" s="182">
        <f t="shared" ref="B540:C551" si="121">B497</f>
        <v>13</v>
      </c>
      <c r="C540" s="182">
        <f t="shared" si="121"/>
        <v>1</v>
      </c>
      <c r="D540" s="182" t="str">
        <f t="shared" si="120"/>
        <v>Boisson spécial numéro 2</v>
      </c>
      <c r="E540" s="268">
        <f t="shared" ref="E540:F551" si="122">E497</f>
        <v>2.2799999999999998</v>
      </c>
      <c r="F540" s="267">
        <f t="shared" si="122"/>
        <v>6.6</v>
      </c>
      <c r="G540" s="266">
        <f t="shared" ref="G540:G552" si="123">E540/F540</f>
        <v>0.34545454545454546</v>
      </c>
      <c r="H540" s="265">
        <f t="shared" ref="H540:H552" si="124">F540-E540</f>
        <v>4.32</v>
      </c>
      <c r="I540" s="264"/>
      <c r="J540" s="182"/>
      <c r="K540" s="182"/>
      <c r="L540" s="231"/>
      <c r="M540" s="230"/>
      <c r="N540" s="217"/>
    </row>
    <row r="541" spans="1:14" ht="18" x14ac:dyDescent="0.3">
      <c r="A541" s="290"/>
      <c r="B541" s="182">
        <f t="shared" si="121"/>
        <v>14</v>
      </c>
      <c r="C541" s="182">
        <f t="shared" si="121"/>
        <v>2</v>
      </c>
      <c r="D541" s="182" t="str">
        <f t="shared" si="120"/>
        <v>Boisson spécial numéro 3</v>
      </c>
      <c r="E541" s="268">
        <f t="shared" si="122"/>
        <v>2.66</v>
      </c>
      <c r="F541" s="267">
        <f t="shared" si="122"/>
        <v>7.6</v>
      </c>
      <c r="G541" s="266">
        <f t="shared" si="123"/>
        <v>0.35000000000000003</v>
      </c>
      <c r="H541" s="265">
        <f t="shared" si="124"/>
        <v>4.9399999999999995</v>
      </c>
      <c r="I541" s="264"/>
      <c r="J541" s="182"/>
      <c r="K541" s="182"/>
      <c r="L541" s="231"/>
      <c r="M541" s="230"/>
      <c r="N541" s="217"/>
    </row>
    <row r="542" spans="1:14" ht="18" x14ac:dyDescent="0.3">
      <c r="A542" s="290"/>
      <c r="B542" s="182">
        <f t="shared" si="121"/>
        <v>15</v>
      </c>
      <c r="C542" s="182">
        <f t="shared" si="121"/>
        <v>3</v>
      </c>
      <c r="D542" s="182" t="str">
        <f t="shared" si="120"/>
        <v>Boisson spécial numéro 4</v>
      </c>
      <c r="E542" s="268">
        <f t="shared" si="122"/>
        <v>2.74</v>
      </c>
      <c r="F542" s="267">
        <f t="shared" si="122"/>
        <v>8</v>
      </c>
      <c r="G542" s="266">
        <f t="shared" si="123"/>
        <v>0.34250000000000003</v>
      </c>
      <c r="H542" s="265">
        <f t="shared" si="124"/>
        <v>5.26</v>
      </c>
      <c r="I542" s="264"/>
      <c r="J542" s="182"/>
      <c r="K542" s="182"/>
      <c r="L542" s="231"/>
      <c r="M542" s="230"/>
      <c r="N542" s="217"/>
    </row>
    <row r="543" spans="1:14" ht="18" x14ac:dyDescent="0.3">
      <c r="A543" s="290"/>
      <c r="B543" s="182">
        <f t="shared" si="121"/>
        <v>16</v>
      </c>
      <c r="C543" s="182">
        <f t="shared" si="121"/>
        <v>4</v>
      </c>
      <c r="D543" s="182" t="str">
        <f t="shared" si="120"/>
        <v>Boisson spécial numéro 5</v>
      </c>
      <c r="E543" s="268">
        <f t="shared" si="122"/>
        <v>2.72</v>
      </c>
      <c r="F543" s="267">
        <f t="shared" si="122"/>
        <v>9</v>
      </c>
      <c r="G543" s="266">
        <f t="shared" si="123"/>
        <v>0.30222222222222223</v>
      </c>
      <c r="H543" s="265">
        <f t="shared" si="124"/>
        <v>6.2799999999999994</v>
      </c>
      <c r="I543" s="264"/>
      <c r="J543" s="182"/>
      <c r="K543" s="182"/>
      <c r="L543" s="231"/>
      <c r="M543" s="230"/>
      <c r="N543" s="217"/>
    </row>
    <row r="544" spans="1:14" ht="18" x14ac:dyDescent="0.3">
      <c r="A544" s="290"/>
      <c r="B544" s="182">
        <f t="shared" si="121"/>
        <v>17</v>
      </c>
      <c r="C544" s="182">
        <f t="shared" si="121"/>
        <v>5</v>
      </c>
      <c r="D544" s="182" t="str">
        <f t="shared" si="120"/>
        <v>Boisson spécial numéro 6</v>
      </c>
      <c r="E544" s="268">
        <f t="shared" si="122"/>
        <v>2.76</v>
      </c>
      <c r="F544" s="267">
        <f t="shared" si="122"/>
        <v>9.1999999999999993</v>
      </c>
      <c r="G544" s="266">
        <f t="shared" si="123"/>
        <v>0.3</v>
      </c>
      <c r="H544" s="265">
        <f t="shared" si="124"/>
        <v>6.4399999999999995</v>
      </c>
      <c r="I544" s="264"/>
      <c r="J544" s="182"/>
      <c r="K544" s="182"/>
      <c r="L544" s="231"/>
      <c r="M544" s="230"/>
      <c r="N544" s="217"/>
    </row>
    <row r="545" spans="1:14" ht="18" x14ac:dyDescent="0.3">
      <c r="A545" s="290"/>
      <c r="B545" s="182">
        <f t="shared" si="121"/>
        <v>18</v>
      </c>
      <c r="C545" s="182">
        <f t="shared" si="121"/>
        <v>6</v>
      </c>
      <c r="D545" s="182" t="str">
        <f t="shared" si="120"/>
        <v>Boisson spécial numéro 7</v>
      </c>
      <c r="E545" s="268">
        <f t="shared" si="122"/>
        <v>2.8</v>
      </c>
      <c r="F545" s="267">
        <f t="shared" si="122"/>
        <v>9.4</v>
      </c>
      <c r="G545" s="266">
        <f t="shared" si="123"/>
        <v>0.2978723404255319</v>
      </c>
      <c r="H545" s="265">
        <f t="shared" si="124"/>
        <v>6.6000000000000005</v>
      </c>
      <c r="I545" s="264"/>
      <c r="J545" s="182"/>
      <c r="K545" s="182"/>
      <c r="L545" s="231"/>
      <c r="M545" s="230"/>
      <c r="N545" s="217"/>
    </row>
    <row r="546" spans="1:14" ht="18" x14ac:dyDescent="0.3">
      <c r="A546" s="290"/>
      <c r="B546" s="182">
        <f t="shared" si="121"/>
        <v>19</v>
      </c>
      <c r="C546" s="182">
        <f t="shared" si="121"/>
        <v>7</v>
      </c>
      <c r="D546" s="182" t="str">
        <f t="shared" si="120"/>
        <v>Boisson spécial numéro 8</v>
      </c>
      <c r="E546" s="268">
        <f t="shared" si="122"/>
        <v>2.82</v>
      </c>
      <c r="F546" s="267">
        <f t="shared" si="122"/>
        <v>9.6</v>
      </c>
      <c r="G546" s="266">
        <f t="shared" si="123"/>
        <v>0.29375000000000001</v>
      </c>
      <c r="H546" s="265">
        <f t="shared" si="124"/>
        <v>6.7799999999999994</v>
      </c>
      <c r="I546" s="264"/>
      <c r="J546" s="182"/>
      <c r="K546" s="182"/>
      <c r="L546" s="231"/>
      <c r="M546" s="230"/>
      <c r="N546" s="217"/>
    </row>
    <row r="547" spans="1:14" ht="18" x14ac:dyDescent="0.3">
      <c r="A547" s="290"/>
      <c r="B547" s="182">
        <f t="shared" si="121"/>
        <v>20</v>
      </c>
      <c r="C547" s="182">
        <f t="shared" si="121"/>
        <v>8</v>
      </c>
      <c r="D547" s="182" t="str">
        <f t="shared" si="120"/>
        <v>Boisson spécial numéro 9</v>
      </c>
      <c r="E547" s="268">
        <f t="shared" si="122"/>
        <v>2.86</v>
      </c>
      <c r="F547" s="267">
        <f t="shared" si="122"/>
        <v>9.8000000000000007</v>
      </c>
      <c r="G547" s="266">
        <f t="shared" si="123"/>
        <v>0.2918367346938775</v>
      </c>
      <c r="H547" s="265">
        <f t="shared" si="124"/>
        <v>6.9400000000000013</v>
      </c>
      <c r="I547" s="264"/>
      <c r="J547" s="182"/>
      <c r="K547" s="182"/>
      <c r="L547" s="231"/>
      <c r="M547" s="230"/>
      <c r="N547" s="217"/>
    </row>
    <row r="548" spans="1:14" ht="18" x14ac:dyDescent="0.3">
      <c r="A548" s="290"/>
      <c r="B548" s="182">
        <f t="shared" si="121"/>
        <v>21</v>
      </c>
      <c r="C548" s="182">
        <f t="shared" si="121"/>
        <v>9</v>
      </c>
      <c r="D548" s="182" t="str">
        <f t="shared" si="120"/>
        <v>Boisson spécial numéro 10</v>
      </c>
      <c r="E548" s="268">
        <f t="shared" si="122"/>
        <v>2.9</v>
      </c>
      <c r="F548" s="267">
        <f t="shared" si="122"/>
        <v>10</v>
      </c>
      <c r="G548" s="266">
        <f t="shared" si="123"/>
        <v>0.28999999999999998</v>
      </c>
      <c r="H548" s="265">
        <f t="shared" si="124"/>
        <v>7.1</v>
      </c>
      <c r="I548" s="264"/>
      <c r="J548" s="182"/>
      <c r="K548" s="182"/>
      <c r="L548" s="231"/>
      <c r="M548" s="230"/>
      <c r="N548" s="217"/>
    </row>
    <row r="549" spans="1:14" ht="18" x14ac:dyDescent="0.3">
      <c r="A549" s="290"/>
      <c r="B549" s="182">
        <f t="shared" si="121"/>
        <v>22</v>
      </c>
      <c r="C549" s="182">
        <f t="shared" si="121"/>
        <v>10</v>
      </c>
      <c r="D549" s="182" t="str">
        <f t="shared" si="120"/>
        <v>Boisson spécial numéro 11</v>
      </c>
      <c r="E549" s="268">
        <f t="shared" si="122"/>
        <v>2.98</v>
      </c>
      <c r="F549" s="267">
        <f t="shared" si="122"/>
        <v>10.4</v>
      </c>
      <c r="G549" s="266">
        <f t="shared" si="123"/>
        <v>0.28653846153846152</v>
      </c>
      <c r="H549" s="265">
        <f t="shared" si="124"/>
        <v>7.42</v>
      </c>
      <c r="I549" s="264"/>
      <c r="J549" s="182"/>
      <c r="K549" s="182"/>
      <c r="L549" s="231"/>
      <c r="M549" s="230"/>
      <c r="N549" s="217"/>
    </row>
    <row r="550" spans="1:14" ht="18" x14ac:dyDescent="0.3">
      <c r="A550" s="290"/>
      <c r="B550" s="182">
        <f t="shared" si="121"/>
        <v>23</v>
      </c>
      <c r="C550" s="182">
        <f t="shared" si="121"/>
        <v>11</v>
      </c>
      <c r="D550" s="182" t="str">
        <f t="shared" si="120"/>
        <v>Boisson spécial numéro 12</v>
      </c>
      <c r="E550" s="268">
        <f t="shared" si="122"/>
        <v>3.18</v>
      </c>
      <c r="F550" s="267">
        <f t="shared" si="122"/>
        <v>11.6</v>
      </c>
      <c r="G550" s="266">
        <f t="shared" si="123"/>
        <v>0.27413793103448281</v>
      </c>
      <c r="H550" s="265">
        <f t="shared" si="124"/>
        <v>8.42</v>
      </c>
      <c r="I550" s="264"/>
      <c r="J550" s="182"/>
      <c r="K550" s="182"/>
      <c r="L550" s="231"/>
      <c r="M550" s="230"/>
      <c r="N550" s="217"/>
    </row>
    <row r="551" spans="1:14" ht="18" x14ac:dyDescent="0.3">
      <c r="A551" s="290"/>
      <c r="B551" s="182">
        <f t="shared" si="121"/>
        <v>24</v>
      </c>
      <c r="C551" s="182">
        <f t="shared" si="121"/>
        <v>12</v>
      </c>
      <c r="D551" s="182" t="str">
        <f t="shared" si="120"/>
        <v>CmO—PmO—Beverage Cost—Marge brute</v>
      </c>
      <c r="E551" s="268">
        <f t="shared" si="122"/>
        <v>3.48</v>
      </c>
      <c r="F551" s="267">
        <f t="shared" si="122"/>
        <v>13.2</v>
      </c>
      <c r="G551" s="266">
        <f t="shared" si="123"/>
        <v>0.26363636363636367</v>
      </c>
      <c r="H551" s="265">
        <f t="shared" si="124"/>
        <v>9.7199999999999989</v>
      </c>
      <c r="I551" s="264"/>
      <c r="J551" s="182"/>
      <c r="K551" s="182"/>
      <c r="L551" s="231"/>
      <c r="M551" s="230"/>
      <c r="N551" s="217"/>
    </row>
    <row r="552" spans="1:14" ht="19" x14ac:dyDescent="0.35">
      <c r="A552" s="290"/>
      <c r="B552" s="182"/>
      <c r="C552" s="182"/>
      <c r="D552" s="241" t="str">
        <f>D509</f>
        <v>CmO—PmO—Beverage Cost—Marge brute</v>
      </c>
      <c r="E552" s="262">
        <f>SUM(E540:E551)/C551</f>
        <v>2.8483333333333332</v>
      </c>
      <c r="F552" s="262">
        <f>SUM(F540:F551)/C551</f>
        <v>9.5333333333333332</v>
      </c>
      <c r="G552" s="261">
        <f t="shared" si="123"/>
        <v>0.29877622377622376</v>
      </c>
      <c r="H552" s="260">
        <f t="shared" si="124"/>
        <v>6.6850000000000005</v>
      </c>
      <c r="I552" s="259"/>
      <c r="J552" s="182"/>
      <c r="K552" s="182"/>
      <c r="L552" s="291">
        <v>1</v>
      </c>
      <c r="M552" s="230" t="str">
        <f>$M$21</f>
        <v xml:space="preserve"> </v>
      </c>
      <c r="N552" s="217"/>
    </row>
    <row r="553" spans="1:14" ht="19" thickBot="1" x14ac:dyDescent="0.35">
      <c r="A553" s="290"/>
      <c r="B553" s="182"/>
      <c r="C553" s="182"/>
      <c r="D553" s="182"/>
      <c r="E553" s="245"/>
      <c r="F553" s="245"/>
      <c r="G553" s="244"/>
      <c r="H553" s="243"/>
      <c r="I553" s="182"/>
      <c r="J553" s="182"/>
      <c r="K553" s="182"/>
      <c r="L553" s="231"/>
      <c r="M553" s="230"/>
      <c r="N553" s="217"/>
    </row>
    <row r="554" spans="1:14" ht="21" thickTop="1" thickBot="1" x14ac:dyDescent="0.4">
      <c r="A554" s="290"/>
      <c r="B554" s="182"/>
      <c r="C554" s="256"/>
      <c r="D554" s="255"/>
      <c r="E554" s="254"/>
      <c r="F554" s="254"/>
      <c r="G554" s="253"/>
      <c r="H554" s="252"/>
      <c r="I554" s="251"/>
      <c r="J554" s="182"/>
      <c r="K554" s="182"/>
      <c r="L554" s="231"/>
      <c r="M554" s="230"/>
      <c r="N554" s="217"/>
    </row>
    <row r="555" spans="1:14" ht="20" thickTop="1" thickBot="1" x14ac:dyDescent="0.35">
      <c r="A555" s="290"/>
      <c r="B555" s="182"/>
      <c r="C555" s="236"/>
      <c r="D555" s="241"/>
      <c r="E555" s="250" t="str">
        <f>E512</f>
        <v>CmO</v>
      </c>
      <c r="F555" s="250" t="str">
        <f>F512</f>
        <v>PmO</v>
      </c>
      <c r="G555" s="249" t="str">
        <f>G512</f>
        <v>F&amp;BCmO</v>
      </c>
      <c r="H555" s="248" t="str">
        <f>H512</f>
        <v>BmO</v>
      </c>
      <c r="I555" s="247"/>
      <c r="J555" s="182"/>
      <c r="K555" s="182"/>
      <c r="L555" s="231"/>
      <c r="M555" s="230"/>
      <c r="N555" s="217"/>
    </row>
    <row r="556" spans="1:14" ht="19" thickTop="1" x14ac:dyDescent="0.3">
      <c r="A556" s="290"/>
      <c r="B556" s="182"/>
      <c r="C556" s="236"/>
      <c r="D556" s="246" t="str">
        <f>D513</f>
        <v>OFFRE TOTALE AVEC LES GÂTERIES ET LES CAFÉS GÂTERIES</v>
      </c>
      <c r="E556" s="245"/>
      <c r="F556" s="245"/>
      <c r="G556" s="244"/>
      <c r="H556" s="243"/>
      <c r="I556" s="242"/>
      <c r="J556" s="182"/>
      <c r="K556" s="182"/>
      <c r="L556" s="231"/>
      <c r="M556" s="230"/>
      <c r="N556" s="217"/>
    </row>
    <row r="557" spans="1:14" ht="19" x14ac:dyDescent="0.35">
      <c r="A557" s="290"/>
      <c r="B557" s="182"/>
      <c r="C557" s="236"/>
      <c r="D557" s="241" t="str">
        <f>D514</f>
        <v>CmO—PmO—F&amp;B cost moyen offert—Marge brute</v>
      </c>
      <c r="E557" s="240">
        <f>+(E525+E526+E527+E528+E529+E530+E531+E532+E533+E534+E535+E536+E540+E541+E542+E543+E544+E545+E546+E547+E548+E549+E550+E551)/B551</f>
        <v>2.1649999999999996</v>
      </c>
      <c r="F557" s="240">
        <f>+(F525+F526+F527+F528+F529+F530+F531+F532+F533+F534+F535+F536+F540+F541+F542+F543+F544+F545+F546+F547+F548+F549+F550+F551)/B551</f>
        <v>7.1749999999999998</v>
      </c>
      <c r="G557" s="239">
        <f>E557/F557</f>
        <v>0.30174216027874562</v>
      </c>
      <c r="H557" s="238">
        <f>F557-E557</f>
        <v>5.01</v>
      </c>
      <c r="I557" s="237"/>
      <c r="J557" s="182"/>
      <c r="K557" s="182"/>
      <c r="L557" s="231">
        <f>+L41</f>
        <v>2</v>
      </c>
      <c r="M557" s="230">
        <f>'% Occupation'!P19</f>
        <v>196</v>
      </c>
      <c r="N557" s="217"/>
    </row>
    <row r="558" spans="1:14" ht="18" x14ac:dyDescent="0.3">
      <c r="A558" s="290"/>
      <c r="B558" s="182"/>
      <c r="C558" s="236"/>
      <c r="D558" s="182"/>
      <c r="E558" s="235"/>
      <c r="F558" s="235"/>
      <c r="G558" s="234"/>
      <c r="H558" s="233"/>
      <c r="I558" s="232"/>
      <c r="J558" s="182"/>
      <c r="K558" s="182"/>
      <c r="L558" s="231"/>
      <c r="M558" s="230"/>
      <c r="N558" s="217"/>
    </row>
    <row r="559" spans="1:14" ht="19" thickBot="1" x14ac:dyDescent="0.35">
      <c r="A559" s="290"/>
      <c r="B559" s="182"/>
      <c r="C559" s="229"/>
      <c r="D559" s="228"/>
      <c r="E559" s="227"/>
      <c r="F559" s="227"/>
      <c r="G559" s="226"/>
      <c r="H559" s="225"/>
      <c r="I559" s="224"/>
      <c r="J559" s="182"/>
      <c r="K559" s="182"/>
      <c r="L559" s="223"/>
      <c r="M559" s="222"/>
      <c r="N559" s="217"/>
    </row>
    <row r="560" spans="1:14" ht="19" thickTop="1" x14ac:dyDescent="0.3">
      <c r="A560" s="290"/>
      <c r="B560" s="182"/>
      <c r="C560" s="182"/>
      <c r="D560" s="246"/>
      <c r="E560" s="235"/>
      <c r="F560" s="235"/>
      <c r="G560" s="234"/>
      <c r="H560" s="233"/>
      <c r="I560" s="233"/>
      <c r="J560" s="182"/>
      <c r="K560" s="182"/>
      <c r="L560" s="289"/>
      <c r="M560" s="288"/>
      <c r="N560" s="217"/>
    </row>
    <row r="561" spans="2:14" ht="23" x14ac:dyDescent="0.3">
      <c r="D561" s="287" t="s">
        <v>85</v>
      </c>
      <c r="F561" s="283"/>
      <c r="L561" s="220"/>
      <c r="M561" s="218"/>
      <c r="N561" s="217"/>
    </row>
    <row r="562" spans="2:14" ht="24" thickBot="1" x14ac:dyDescent="0.35">
      <c r="D562" s="285"/>
      <c r="L562" s="220"/>
      <c r="M562" s="218"/>
      <c r="N562" s="217"/>
    </row>
    <row r="563" spans="2:14" ht="23" customHeight="1" thickTop="1" x14ac:dyDescent="0.25">
      <c r="D563" s="285"/>
      <c r="E563" s="604" t="str">
        <f>E477</f>
        <v>Coûts des ressources alimentaires pour chaque produit offert (voir recettes standardisées)</v>
      </c>
      <c r="F563" s="604" t="str">
        <f>F477</f>
        <v>Prix de vente par produit offert</v>
      </c>
      <c r="G563" s="604" t="str">
        <f>G477</f>
        <v xml:space="preserve">« Food &amp; Beverage Cost » </v>
      </c>
      <c r="H563" s="604" t="str">
        <f>H477</f>
        <v>Marge brute gagnée sur la vente de chaque produit offert</v>
      </c>
      <c r="I563" s="286"/>
      <c r="L563" s="613" t="s">
        <v>84</v>
      </c>
      <c r="M563" s="613" t="s">
        <v>83</v>
      </c>
      <c r="N563" s="217"/>
    </row>
    <row r="564" spans="2:14" ht="22" x14ac:dyDescent="0.25">
      <c r="D564" s="285"/>
      <c r="E564" s="605"/>
      <c r="F564" s="607"/>
      <c r="G564" s="607"/>
      <c r="H564" s="607"/>
      <c r="I564" s="284"/>
      <c r="L564" s="614"/>
      <c r="M564" s="616"/>
      <c r="N564" s="217"/>
    </row>
    <row r="565" spans="2:14" ht="14" customHeight="1" thickBot="1" x14ac:dyDescent="0.25">
      <c r="E565" s="606"/>
      <c r="F565" s="608"/>
      <c r="G565" s="608"/>
      <c r="H565" s="608"/>
      <c r="I565" s="284"/>
      <c r="L565" s="615"/>
      <c r="M565" s="617"/>
      <c r="N565" s="217"/>
    </row>
    <row r="566" spans="2:14" ht="20" thickTop="1" thickBot="1" x14ac:dyDescent="0.35">
      <c r="B566" s="149" t="s">
        <v>1</v>
      </c>
      <c r="E566" s="283"/>
      <c r="F566" s="283"/>
      <c r="G566" s="282"/>
      <c r="L566" s="220"/>
      <c r="M566" s="218"/>
      <c r="N566" s="217"/>
    </row>
    <row r="567" spans="2:14" ht="19" thickTop="1" x14ac:dyDescent="0.3">
      <c r="B567" s="182"/>
      <c r="C567" s="182"/>
      <c r="D567" s="241" t="str">
        <f t="shared" ref="D567:D580" si="125">D481</f>
        <v>Les Petite Gâteries</v>
      </c>
      <c r="E567" s="264"/>
      <c r="F567" s="264"/>
      <c r="G567" s="244"/>
      <c r="H567" s="182"/>
      <c r="I567" s="182"/>
      <c r="J567" s="182"/>
      <c r="K567" s="182"/>
      <c r="L567" s="281"/>
      <c r="M567" s="280"/>
      <c r="N567" s="217"/>
    </row>
    <row r="568" spans="2:14" ht="18" x14ac:dyDescent="0.3">
      <c r="B568" s="182">
        <f t="shared" ref="B568:C579" si="126">B482</f>
        <v>1</v>
      </c>
      <c r="C568" s="182">
        <f t="shared" si="126"/>
        <v>1</v>
      </c>
      <c r="D568" s="182" t="str">
        <f t="shared" si="125"/>
        <v>Petite Gâterie 1</v>
      </c>
      <c r="E568" s="268">
        <f>(E9+E52+E95+E138+E181+E224+E267+E310+E353+E396+E439+E482+E525)/13</f>
        <v>1.2100000000000004</v>
      </c>
      <c r="F568" s="276">
        <f t="shared" ref="F568:F579" si="127">(F9+F52+F95+F138+F181+F224+F267+F310+F353+F396+F439+F482)/12</f>
        <v>3.2999999999999994</v>
      </c>
      <c r="G568" s="266">
        <f t="shared" ref="G568:G580" si="128">E568/F568</f>
        <v>0.36666666666666686</v>
      </c>
      <c r="H568" s="265">
        <f t="shared" ref="H568:H580" si="129">F568-E568</f>
        <v>2.089999999999999</v>
      </c>
      <c r="I568" s="264">
        <f>F568</f>
        <v>3.2999999999999994</v>
      </c>
      <c r="J568" s="618">
        <f>3/12</f>
        <v>0.25</v>
      </c>
      <c r="K568" s="269"/>
      <c r="L568" s="279"/>
      <c r="M568" s="230"/>
      <c r="N568" s="217"/>
    </row>
    <row r="569" spans="2:14" ht="18" x14ac:dyDescent="0.3">
      <c r="B569" s="182">
        <f t="shared" si="126"/>
        <v>2</v>
      </c>
      <c r="C569" s="182">
        <f t="shared" si="126"/>
        <v>2</v>
      </c>
      <c r="D569" s="182" t="str">
        <f t="shared" si="125"/>
        <v>Petite Gâterie 2</v>
      </c>
      <c r="E569" s="268">
        <f t="shared" ref="E569:E579" si="130">(E10+E53+E96+E139+E182+E225+E268+E311+E354+E397+E440+E483)/12</f>
        <v>1.3100000000000003</v>
      </c>
      <c r="F569" s="276">
        <f t="shared" si="127"/>
        <v>3.7999999999999994</v>
      </c>
      <c r="G569" s="266">
        <f t="shared" si="128"/>
        <v>0.34473684210526329</v>
      </c>
      <c r="H569" s="265">
        <f t="shared" si="129"/>
        <v>2.4899999999999993</v>
      </c>
      <c r="I569" s="264"/>
      <c r="J569" s="610"/>
      <c r="K569" s="263"/>
      <c r="L569" s="231"/>
      <c r="M569" s="230"/>
      <c r="N569" s="217"/>
    </row>
    <row r="570" spans="2:14" ht="19" thickBot="1" x14ac:dyDescent="0.35">
      <c r="B570" s="275">
        <f t="shared" si="126"/>
        <v>3</v>
      </c>
      <c r="C570" s="275">
        <f t="shared" si="126"/>
        <v>3</v>
      </c>
      <c r="D570" s="275" t="str">
        <f t="shared" si="125"/>
        <v>Petite Gâterie 3</v>
      </c>
      <c r="E570" s="274">
        <f t="shared" si="130"/>
        <v>1.3499999999999999</v>
      </c>
      <c r="F570" s="278">
        <f t="shared" si="127"/>
        <v>4</v>
      </c>
      <c r="G570" s="272">
        <f t="shared" si="128"/>
        <v>0.33749999999999997</v>
      </c>
      <c r="H570" s="271">
        <f t="shared" si="129"/>
        <v>2.6500000000000004</v>
      </c>
      <c r="I570" s="270">
        <f>+I568+1.073333</f>
        <v>4.3733329999999997</v>
      </c>
      <c r="J570" s="619"/>
      <c r="K570" s="263"/>
      <c r="L570" s="231"/>
      <c r="M570" s="230"/>
      <c r="N570" s="217"/>
    </row>
    <row r="571" spans="2:14" ht="18" x14ac:dyDescent="0.3">
      <c r="B571" s="182">
        <f t="shared" si="126"/>
        <v>4</v>
      </c>
      <c r="C571" s="182">
        <f t="shared" si="126"/>
        <v>4</v>
      </c>
      <c r="D571" s="182" t="str">
        <f t="shared" si="125"/>
        <v>Petite Gâterie 4</v>
      </c>
      <c r="E571" s="268">
        <f t="shared" si="130"/>
        <v>1.4000000000000001</v>
      </c>
      <c r="F571" s="276">
        <f t="shared" si="127"/>
        <v>4.5</v>
      </c>
      <c r="G571" s="266">
        <f t="shared" si="128"/>
        <v>0.31111111111111112</v>
      </c>
      <c r="H571" s="265">
        <f t="shared" si="129"/>
        <v>3.0999999999999996</v>
      </c>
      <c r="I571" s="264">
        <f>+I570+0.01</f>
        <v>4.3833329999999995</v>
      </c>
      <c r="J571" s="609">
        <f>7/12</f>
        <v>0.58333333333333337</v>
      </c>
      <c r="K571" s="269"/>
      <c r="L571" s="231"/>
      <c r="M571" s="230"/>
      <c r="N571" s="217"/>
    </row>
    <row r="572" spans="2:14" ht="18" x14ac:dyDescent="0.3">
      <c r="B572" s="182">
        <f t="shared" si="126"/>
        <v>5</v>
      </c>
      <c r="C572" s="182">
        <f t="shared" si="126"/>
        <v>5</v>
      </c>
      <c r="D572" s="182" t="str">
        <f t="shared" si="125"/>
        <v>Petite Gâterie 5</v>
      </c>
      <c r="E572" s="268">
        <f t="shared" si="130"/>
        <v>1.24</v>
      </c>
      <c r="F572" s="276">
        <f t="shared" si="127"/>
        <v>4.6000000000000005</v>
      </c>
      <c r="G572" s="266">
        <f t="shared" si="128"/>
        <v>0.26956521739130429</v>
      </c>
      <c r="H572" s="265">
        <f t="shared" si="129"/>
        <v>3.3600000000000003</v>
      </c>
      <c r="I572" s="264"/>
      <c r="J572" s="610"/>
      <c r="K572" s="263"/>
      <c r="L572" s="231"/>
      <c r="M572" s="230"/>
      <c r="N572" s="217"/>
    </row>
    <row r="573" spans="2:14" ht="18" x14ac:dyDescent="0.3">
      <c r="B573" s="182">
        <f t="shared" si="126"/>
        <v>6</v>
      </c>
      <c r="C573" s="182">
        <f t="shared" si="126"/>
        <v>6</v>
      </c>
      <c r="D573" s="182" t="str">
        <f t="shared" si="125"/>
        <v>Petite Gâterie 6</v>
      </c>
      <c r="E573" s="268">
        <f t="shared" si="130"/>
        <v>1.3900000000000003</v>
      </c>
      <c r="F573" s="276">
        <f t="shared" si="127"/>
        <v>4.7000000000000011</v>
      </c>
      <c r="G573" s="266">
        <f t="shared" si="128"/>
        <v>0.29574468085106381</v>
      </c>
      <c r="H573" s="265">
        <f t="shared" si="129"/>
        <v>3.3100000000000005</v>
      </c>
      <c r="I573" s="264"/>
      <c r="J573" s="610"/>
      <c r="K573" s="263"/>
      <c r="L573" s="231"/>
      <c r="M573" s="230"/>
      <c r="N573" s="217"/>
    </row>
    <row r="574" spans="2:14" ht="18" x14ac:dyDescent="0.3">
      <c r="B574" s="182">
        <f t="shared" si="126"/>
        <v>7</v>
      </c>
      <c r="C574" s="182">
        <f t="shared" si="126"/>
        <v>7</v>
      </c>
      <c r="D574" s="182" t="str">
        <f t="shared" si="125"/>
        <v>Petite Gâterie 7</v>
      </c>
      <c r="E574" s="268">
        <f t="shared" si="130"/>
        <v>1.51</v>
      </c>
      <c r="F574" s="276">
        <f t="shared" si="127"/>
        <v>4.7999999999999989</v>
      </c>
      <c r="G574" s="266">
        <f t="shared" si="128"/>
        <v>0.31458333333333338</v>
      </c>
      <c r="H574" s="265">
        <f t="shared" si="129"/>
        <v>3.2899999999999991</v>
      </c>
      <c r="I574" s="264"/>
      <c r="J574" s="610"/>
      <c r="K574" s="263"/>
      <c r="L574" s="231"/>
      <c r="M574" s="230"/>
      <c r="N574" s="217"/>
    </row>
    <row r="575" spans="2:14" ht="18" x14ac:dyDescent="0.3">
      <c r="B575" s="182">
        <f t="shared" si="126"/>
        <v>8</v>
      </c>
      <c r="C575" s="182">
        <f t="shared" si="126"/>
        <v>8</v>
      </c>
      <c r="D575" s="182" t="str">
        <f t="shared" si="125"/>
        <v>Petite Gâterie 8</v>
      </c>
      <c r="E575" s="268">
        <f t="shared" si="130"/>
        <v>1.53</v>
      </c>
      <c r="F575" s="276">
        <f t="shared" si="127"/>
        <v>4.8999999999999995</v>
      </c>
      <c r="G575" s="266">
        <f t="shared" si="128"/>
        <v>0.3122448979591837</v>
      </c>
      <c r="H575" s="265">
        <f t="shared" si="129"/>
        <v>3.3699999999999992</v>
      </c>
      <c r="I575" s="264"/>
      <c r="J575" s="610"/>
      <c r="K575" s="263"/>
      <c r="L575" s="231"/>
      <c r="M575" s="230"/>
      <c r="N575" s="217"/>
    </row>
    <row r="576" spans="2:14" ht="18" x14ac:dyDescent="0.3">
      <c r="B576" s="182">
        <f t="shared" si="126"/>
        <v>9</v>
      </c>
      <c r="C576" s="182">
        <f t="shared" si="126"/>
        <v>9</v>
      </c>
      <c r="D576" s="182" t="str">
        <f t="shared" si="125"/>
        <v>Petite Gâterie 9</v>
      </c>
      <c r="E576" s="268">
        <f t="shared" si="130"/>
        <v>1.5500000000000005</v>
      </c>
      <c r="F576" s="276">
        <f t="shared" si="127"/>
        <v>5</v>
      </c>
      <c r="G576" s="266">
        <f t="shared" si="128"/>
        <v>0.31000000000000011</v>
      </c>
      <c r="H576" s="265">
        <f t="shared" si="129"/>
        <v>3.4499999999999993</v>
      </c>
      <c r="I576" s="264"/>
      <c r="J576" s="610"/>
      <c r="K576" s="263"/>
      <c r="L576" s="231"/>
      <c r="M576" s="230"/>
      <c r="N576" s="217"/>
    </row>
    <row r="577" spans="2:14" ht="19" thickBot="1" x14ac:dyDescent="0.35">
      <c r="B577" s="275">
        <f t="shared" si="126"/>
        <v>10</v>
      </c>
      <c r="C577" s="275">
        <f t="shared" si="126"/>
        <v>10</v>
      </c>
      <c r="D577" s="275" t="str">
        <f t="shared" si="125"/>
        <v>Petite Gâterie 10</v>
      </c>
      <c r="E577" s="274">
        <f t="shared" si="130"/>
        <v>1.59</v>
      </c>
      <c r="F577" s="278">
        <f t="shared" si="127"/>
        <v>5.2000000000000011</v>
      </c>
      <c r="G577" s="272">
        <f t="shared" si="128"/>
        <v>0.30576923076923074</v>
      </c>
      <c r="H577" s="271">
        <f t="shared" si="129"/>
        <v>3.6100000000000012</v>
      </c>
      <c r="I577" s="270">
        <f>+I570+1.073333</f>
        <v>5.4466659999999996</v>
      </c>
      <c r="J577" s="619"/>
      <c r="K577" s="263"/>
      <c r="L577" s="231"/>
      <c r="M577" s="230"/>
      <c r="N577" s="217"/>
    </row>
    <row r="578" spans="2:14" ht="18" x14ac:dyDescent="0.3">
      <c r="B578" s="182">
        <f t="shared" si="126"/>
        <v>11</v>
      </c>
      <c r="C578" s="182">
        <f t="shared" si="126"/>
        <v>11</v>
      </c>
      <c r="D578" s="182" t="str">
        <f t="shared" si="125"/>
        <v>Petite Gâterie 11</v>
      </c>
      <c r="E578" s="268">
        <f t="shared" si="130"/>
        <v>1.8299999999999994</v>
      </c>
      <c r="F578" s="276">
        <f t="shared" si="127"/>
        <v>6.3999999999999995</v>
      </c>
      <c r="G578" s="266">
        <f t="shared" si="128"/>
        <v>0.28593749999999996</v>
      </c>
      <c r="H578" s="265">
        <f t="shared" si="129"/>
        <v>4.57</v>
      </c>
      <c r="I578" s="264">
        <f>+I577+0.01</f>
        <v>5.4566659999999994</v>
      </c>
      <c r="J578" s="609">
        <f>2/12</f>
        <v>0.16666666666666666</v>
      </c>
      <c r="K578" s="269"/>
      <c r="L578" s="231"/>
      <c r="M578" s="230"/>
      <c r="N578" s="217"/>
    </row>
    <row r="579" spans="2:14" ht="18" x14ac:dyDescent="0.3">
      <c r="B579" s="182">
        <f t="shared" si="126"/>
        <v>12</v>
      </c>
      <c r="C579" s="182">
        <f t="shared" si="126"/>
        <v>12</v>
      </c>
      <c r="D579" s="182" t="str">
        <f t="shared" si="125"/>
        <v>Petite Gâterie 12</v>
      </c>
      <c r="E579" s="268">
        <f t="shared" si="130"/>
        <v>1.8700000000000008</v>
      </c>
      <c r="F579" s="276">
        <f t="shared" si="127"/>
        <v>6.5999999999999988</v>
      </c>
      <c r="G579" s="266">
        <f t="shared" si="128"/>
        <v>0.28333333333333349</v>
      </c>
      <c r="H579" s="265">
        <f t="shared" si="129"/>
        <v>4.7299999999999978</v>
      </c>
      <c r="I579" s="264">
        <f>F579</f>
        <v>6.5999999999999988</v>
      </c>
      <c r="J579" s="610"/>
      <c r="K579" s="263"/>
      <c r="L579" s="231"/>
      <c r="M579" s="230"/>
      <c r="N579" s="217"/>
    </row>
    <row r="580" spans="2:14" ht="19" x14ac:dyDescent="0.35">
      <c r="B580" s="182"/>
      <c r="C580" s="182"/>
      <c r="D580" s="241" t="str">
        <f t="shared" si="125"/>
        <v>CmO—PmO—Food Cost—BmO</v>
      </c>
      <c r="E580" s="262">
        <f>SUM(E568:E579)/C579</f>
        <v>1.4816666666666667</v>
      </c>
      <c r="F580" s="240">
        <f>SUM(F568:F579)/C579</f>
        <v>4.8166666666666664</v>
      </c>
      <c r="G580" s="277">
        <f t="shared" si="128"/>
        <v>0.30761245674740484</v>
      </c>
      <c r="H580" s="260">
        <f t="shared" si="129"/>
        <v>3.335</v>
      </c>
      <c r="I580" s="259"/>
      <c r="J580" s="182"/>
      <c r="K580" s="182"/>
      <c r="L580" s="258">
        <f>+(L21+L64+L107+L150+L193+L236+L279+L322+L365+L408+L451+L494+L537)/13</f>
        <v>1</v>
      </c>
      <c r="M580" s="230" t="str">
        <f>$M$21</f>
        <v xml:space="preserve"> </v>
      </c>
      <c r="N580" s="217"/>
    </row>
    <row r="581" spans="2:14" ht="18" x14ac:dyDescent="0.3">
      <c r="B581" s="182" t="s">
        <v>1</v>
      </c>
      <c r="C581" s="182"/>
      <c r="D581" s="182"/>
      <c r="E581" s="245"/>
      <c r="F581" s="245"/>
      <c r="G581" s="266"/>
      <c r="H581" s="243"/>
      <c r="I581" s="264"/>
      <c r="J581" s="182"/>
      <c r="K581" s="182"/>
      <c r="L581" s="231"/>
      <c r="M581" s="230"/>
      <c r="N581" s="217"/>
    </row>
    <row r="582" spans="2:14" ht="18" x14ac:dyDescent="0.3">
      <c r="B582" s="182"/>
      <c r="C582" s="182"/>
      <c r="D582" s="241" t="str">
        <f t="shared" ref="D582:D595" si="131">D496</f>
        <v>Les Boissons  Gâteries</v>
      </c>
      <c r="E582" s="245"/>
      <c r="F582" s="245"/>
      <c r="G582" s="266"/>
      <c r="H582" s="243"/>
      <c r="I582" s="264"/>
      <c r="J582" s="182"/>
      <c r="K582" s="182"/>
      <c r="L582" s="231"/>
      <c r="M582" s="230"/>
      <c r="N582" s="217"/>
    </row>
    <row r="583" spans="2:14" ht="18" x14ac:dyDescent="0.3">
      <c r="B583" s="182">
        <f t="shared" ref="B583:C594" si="132">B497</f>
        <v>13</v>
      </c>
      <c r="C583" s="182">
        <f t="shared" si="132"/>
        <v>1</v>
      </c>
      <c r="D583" s="182" t="str">
        <f t="shared" si="131"/>
        <v>Boisson spécial numéro 1</v>
      </c>
      <c r="E583" s="268">
        <f t="shared" ref="E583:F594" si="133">(E24+E67+E110+E153+E196+E239+E282+E325+E368+E411+E454+E497)/12</f>
        <v>2.2800000000000002</v>
      </c>
      <c r="F583" s="276">
        <f t="shared" si="133"/>
        <v>6.5999999999999988</v>
      </c>
      <c r="G583" s="266">
        <f t="shared" ref="G583:G595" si="134">E583/F583</f>
        <v>0.34545454545454557</v>
      </c>
      <c r="H583" s="265">
        <f t="shared" ref="H583:H595" si="135">F583-E583</f>
        <v>4.3199999999999985</v>
      </c>
      <c r="I583" s="264">
        <f>F583</f>
        <v>6.5999999999999988</v>
      </c>
      <c r="J583" s="618">
        <f>3/12</f>
        <v>0.25</v>
      </c>
      <c r="K583" s="269"/>
      <c r="L583" s="231"/>
      <c r="M583" s="230"/>
      <c r="N583" s="217"/>
    </row>
    <row r="584" spans="2:14" ht="18" x14ac:dyDescent="0.3">
      <c r="B584" s="182">
        <f t="shared" si="132"/>
        <v>14</v>
      </c>
      <c r="C584" s="182">
        <f t="shared" si="132"/>
        <v>2</v>
      </c>
      <c r="D584" s="182" t="str">
        <f t="shared" si="131"/>
        <v>Boisson spécial numéro 2</v>
      </c>
      <c r="E584" s="268">
        <f t="shared" si="133"/>
        <v>2.66</v>
      </c>
      <c r="F584" s="267">
        <f t="shared" si="133"/>
        <v>7.5999999999999988</v>
      </c>
      <c r="G584" s="266">
        <f t="shared" si="134"/>
        <v>0.35000000000000009</v>
      </c>
      <c r="H584" s="265">
        <f t="shared" si="135"/>
        <v>4.9399999999999986</v>
      </c>
      <c r="I584" s="264"/>
      <c r="J584" s="610"/>
      <c r="K584" s="263"/>
      <c r="L584" s="231"/>
      <c r="M584" s="230"/>
      <c r="N584" s="217"/>
    </row>
    <row r="585" spans="2:14" ht="19" thickBot="1" x14ac:dyDescent="0.35">
      <c r="B585" s="275">
        <f t="shared" si="132"/>
        <v>15</v>
      </c>
      <c r="C585" s="275">
        <f t="shared" si="132"/>
        <v>3</v>
      </c>
      <c r="D585" s="275" t="str">
        <f t="shared" si="131"/>
        <v>Boisson spécial numéro 3</v>
      </c>
      <c r="E585" s="274">
        <f t="shared" si="133"/>
        <v>2.7400000000000007</v>
      </c>
      <c r="F585" s="273">
        <f t="shared" si="133"/>
        <v>8</v>
      </c>
      <c r="G585" s="272">
        <f t="shared" si="134"/>
        <v>0.34250000000000008</v>
      </c>
      <c r="H585" s="271">
        <f t="shared" si="135"/>
        <v>5.26</v>
      </c>
      <c r="I585" s="270">
        <f>+I583+2.15</f>
        <v>8.7499999999999982</v>
      </c>
      <c r="J585" s="619"/>
      <c r="K585" s="263"/>
      <c r="L585" s="231"/>
      <c r="M585" s="230"/>
      <c r="N585" s="217"/>
    </row>
    <row r="586" spans="2:14" ht="18" x14ac:dyDescent="0.3">
      <c r="B586" s="182">
        <f t="shared" si="132"/>
        <v>16</v>
      </c>
      <c r="C586" s="182">
        <f t="shared" si="132"/>
        <v>4</v>
      </c>
      <c r="D586" s="182" t="str">
        <f t="shared" si="131"/>
        <v>Boisson spécial numéro 4</v>
      </c>
      <c r="E586" s="268">
        <f t="shared" si="133"/>
        <v>2.7199999999999993</v>
      </c>
      <c r="F586" s="276">
        <f t="shared" si="133"/>
        <v>9</v>
      </c>
      <c r="G586" s="266">
        <f t="shared" si="134"/>
        <v>0.30222222222222217</v>
      </c>
      <c r="H586" s="265">
        <f t="shared" si="135"/>
        <v>6.2800000000000011</v>
      </c>
      <c r="I586" s="264">
        <f>+I585+0.01</f>
        <v>8.759999999999998</v>
      </c>
      <c r="J586" s="618">
        <f>7/12</f>
        <v>0.58333333333333337</v>
      </c>
      <c r="K586" s="269"/>
      <c r="L586" s="231"/>
      <c r="M586" s="230"/>
      <c r="N586" s="217"/>
    </row>
    <row r="587" spans="2:14" ht="18" x14ac:dyDescent="0.3">
      <c r="B587" s="182">
        <f t="shared" si="132"/>
        <v>17</v>
      </c>
      <c r="C587" s="182">
        <f t="shared" si="132"/>
        <v>5</v>
      </c>
      <c r="D587" s="182" t="str">
        <f t="shared" si="131"/>
        <v>Boisson spécial numéro 5</v>
      </c>
      <c r="E587" s="268">
        <f t="shared" si="133"/>
        <v>2.7599999999999993</v>
      </c>
      <c r="F587" s="267">
        <f t="shared" si="133"/>
        <v>9.2000000000000011</v>
      </c>
      <c r="G587" s="266">
        <f t="shared" si="134"/>
        <v>0.29999999999999988</v>
      </c>
      <c r="H587" s="265">
        <f t="shared" si="135"/>
        <v>6.4400000000000013</v>
      </c>
      <c r="I587" s="264"/>
      <c r="J587" s="610"/>
      <c r="K587" s="263"/>
      <c r="L587" s="231"/>
      <c r="M587" s="230"/>
      <c r="N587" s="217"/>
    </row>
    <row r="588" spans="2:14" ht="18" x14ac:dyDescent="0.3">
      <c r="B588" s="182">
        <f t="shared" si="132"/>
        <v>18</v>
      </c>
      <c r="C588" s="182">
        <f t="shared" si="132"/>
        <v>6</v>
      </c>
      <c r="D588" s="182" t="str">
        <f t="shared" si="131"/>
        <v>Boisson spécial numéro 6</v>
      </c>
      <c r="E588" s="268">
        <f t="shared" si="133"/>
        <v>2.8000000000000003</v>
      </c>
      <c r="F588" s="267">
        <f t="shared" si="133"/>
        <v>9.4000000000000021</v>
      </c>
      <c r="G588" s="266">
        <f t="shared" si="134"/>
        <v>0.2978723404255319</v>
      </c>
      <c r="H588" s="265">
        <f t="shared" si="135"/>
        <v>6.6000000000000014</v>
      </c>
      <c r="I588" s="264"/>
      <c r="J588" s="610"/>
      <c r="K588" s="263"/>
      <c r="L588" s="231"/>
      <c r="M588" s="230"/>
      <c r="N588" s="217"/>
    </row>
    <row r="589" spans="2:14" ht="18" x14ac:dyDescent="0.3">
      <c r="B589" s="182">
        <f t="shared" si="132"/>
        <v>19</v>
      </c>
      <c r="C589" s="182">
        <f t="shared" si="132"/>
        <v>7</v>
      </c>
      <c r="D589" s="182" t="str">
        <f t="shared" si="131"/>
        <v>Boisson spécial numéro 7</v>
      </c>
      <c r="E589" s="268">
        <f t="shared" si="133"/>
        <v>2.82</v>
      </c>
      <c r="F589" s="267">
        <f t="shared" si="133"/>
        <v>9.5999999999999979</v>
      </c>
      <c r="G589" s="266">
        <f t="shared" si="134"/>
        <v>0.29375000000000007</v>
      </c>
      <c r="H589" s="265">
        <f t="shared" si="135"/>
        <v>6.7799999999999976</v>
      </c>
      <c r="I589" s="264"/>
      <c r="J589" s="610"/>
      <c r="K589" s="263"/>
      <c r="L589" s="231"/>
      <c r="M589" s="230"/>
      <c r="N589" s="217"/>
    </row>
    <row r="590" spans="2:14" ht="18" x14ac:dyDescent="0.3">
      <c r="B590" s="182">
        <f t="shared" si="132"/>
        <v>20</v>
      </c>
      <c r="C590" s="182">
        <f t="shared" si="132"/>
        <v>8</v>
      </c>
      <c r="D590" s="182" t="str">
        <f t="shared" si="131"/>
        <v>Boisson spécial numéro 8</v>
      </c>
      <c r="E590" s="268">
        <f t="shared" si="133"/>
        <v>2.86</v>
      </c>
      <c r="F590" s="267">
        <f t="shared" si="133"/>
        <v>9.7999999999999989</v>
      </c>
      <c r="G590" s="266">
        <f t="shared" si="134"/>
        <v>0.29183673469387755</v>
      </c>
      <c r="H590" s="265">
        <f t="shared" si="135"/>
        <v>6.9399999999999995</v>
      </c>
      <c r="I590" s="264"/>
      <c r="J590" s="610"/>
      <c r="K590" s="263"/>
      <c r="L590" s="231"/>
      <c r="M590" s="230"/>
      <c r="N590" s="217"/>
    </row>
    <row r="591" spans="2:14" ht="18" x14ac:dyDescent="0.3">
      <c r="B591" s="182">
        <f t="shared" si="132"/>
        <v>21</v>
      </c>
      <c r="C591" s="182">
        <f t="shared" si="132"/>
        <v>9</v>
      </c>
      <c r="D591" s="182" t="str">
        <f t="shared" si="131"/>
        <v>Boisson spécial numéro 9</v>
      </c>
      <c r="E591" s="268">
        <f t="shared" si="133"/>
        <v>2.899999999999999</v>
      </c>
      <c r="F591" s="267">
        <f t="shared" si="133"/>
        <v>10</v>
      </c>
      <c r="G591" s="266">
        <f t="shared" si="134"/>
        <v>0.28999999999999992</v>
      </c>
      <c r="H591" s="265">
        <f t="shared" si="135"/>
        <v>7.1000000000000014</v>
      </c>
      <c r="I591" s="264"/>
      <c r="J591" s="610"/>
      <c r="K591" s="263"/>
      <c r="L591" s="231"/>
      <c r="M591" s="230"/>
      <c r="N591" s="217"/>
    </row>
    <row r="592" spans="2:14" ht="19" thickBot="1" x14ac:dyDescent="0.35">
      <c r="B592" s="275">
        <f t="shared" si="132"/>
        <v>22</v>
      </c>
      <c r="C592" s="275">
        <f t="shared" si="132"/>
        <v>10</v>
      </c>
      <c r="D592" s="275" t="str">
        <f t="shared" si="131"/>
        <v>Boisson spécial numéro 10</v>
      </c>
      <c r="E592" s="274">
        <f t="shared" si="133"/>
        <v>2.98</v>
      </c>
      <c r="F592" s="273">
        <f t="shared" si="133"/>
        <v>10.400000000000002</v>
      </c>
      <c r="G592" s="272">
        <f t="shared" si="134"/>
        <v>0.28653846153846146</v>
      </c>
      <c r="H592" s="271">
        <f t="shared" si="135"/>
        <v>7.4200000000000017</v>
      </c>
      <c r="I592" s="270">
        <f>+I585+2.15</f>
        <v>10.899999999999999</v>
      </c>
      <c r="J592" s="619"/>
      <c r="K592" s="263"/>
      <c r="L592" s="231"/>
      <c r="M592" s="230"/>
      <c r="N592" s="217"/>
    </row>
    <row r="593" spans="2:14" ht="18" x14ac:dyDescent="0.3">
      <c r="B593" s="182">
        <f t="shared" si="132"/>
        <v>23</v>
      </c>
      <c r="C593" s="182">
        <f t="shared" si="132"/>
        <v>11</v>
      </c>
      <c r="D593" s="182" t="str">
        <f t="shared" si="131"/>
        <v>Boisson spécial numéro 11</v>
      </c>
      <c r="E593" s="268">
        <f t="shared" si="133"/>
        <v>3.18</v>
      </c>
      <c r="F593" s="267">
        <f t="shared" si="133"/>
        <v>11.599999999999996</v>
      </c>
      <c r="G593" s="266">
        <f t="shared" si="134"/>
        <v>0.27413793103448286</v>
      </c>
      <c r="H593" s="265">
        <f t="shared" si="135"/>
        <v>8.4199999999999964</v>
      </c>
      <c r="I593" s="264">
        <f>+I592+0.01</f>
        <v>10.909999999999998</v>
      </c>
      <c r="J593" s="609">
        <f>2/12</f>
        <v>0.16666666666666666</v>
      </c>
      <c r="K593" s="269"/>
      <c r="L593" s="231"/>
      <c r="M593" s="230"/>
      <c r="N593" s="217"/>
    </row>
    <row r="594" spans="2:14" ht="18" x14ac:dyDescent="0.3">
      <c r="B594" s="182">
        <f t="shared" si="132"/>
        <v>24</v>
      </c>
      <c r="C594" s="182">
        <f t="shared" si="132"/>
        <v>12</v>
      </c>
      <c r="D594" s="182" t="str">
        <f t="shared" si="131"/>
        <v>Boisson spécial numéro 12</v>
      </c>
      <c r="E594" s="268">
        <f t="shared" si="133"/>
        <v>3.4799999999999991</v>
      </c>
      <c r="F594" s="267">
        <f t="shared" si="133"/>
        <v>13.199999999999998</v>
      </c>
      <c r="G594" s="266">
        <f t="shared" si="134"/>
        <v>0.26363636363636361</v>
      </c>
      <c r="H594" s="265">
        <f t="shared" si="135"/>
        <v>9.7199999999999989</v>
      </c>
      <c r="I594" s="264">
        <f>F594</f>
        <v>13.199999999999998</v>
      </c>
      <c r="J594" s="610"/>
      <c r="K594" s="263"/>
      <c r="L594" s="231"/>
      <c r="M594" s="230"/>
      <c r="N594" s="217"/>
    </row>
    <row r="595" spans="2:14" ht="19" x14ac:dyDescent="0.35">
      <c r="B595" s="182"/>
      <c r="C595" s="182"/>
      <c r="D595" s="241" t="str">
        <f t="shared" si="131"/>
        <v>CmO—PmO—Beverage Cost—Marge brute</v>
      </c>
      <c r="E595" s="262">
        <f>SUM(E583:E594)/C594</f>
        <v>2.8483333333333332</v>
      </c>
      <c r="F595" s="240">
        <f>SUM(F583:F594)/C594</f>
        <v>9.5333333333333332</v>
      </c>
      <c r="G595" s="261">
        <f t="shared" si="134"/>
        <v>0.29877622377622376</v>
      </c>
      <c r="H595" s="260">
        <f t="shared" si="135"/>
        <v>6.6850000000000005</v>
      </c>
      <c r="I595" s="259"/>
      <c r="J595" s="182"/>
      <c r="K595" s="182"/>
      <c r="L595" s="258">
        <f>+(L36+L79+L122+L165+L208+L251+L294+L337+L380+L423+L466+L509+L552)/13</f>
        <v>1</v>
      </c>
      <c r="M595" s="230" t="str">
        <f>$M$21</f>
        <v xml:space="preserve"> </v>
      </c>
      <c r="N595" s="217"/>
    </row>
    <row r="596" spans="2:14" ht="19" thickBot="1" x14ac:dyDescent="0.35">
      <c r="B596" s="182"/>
      <c r="C596" s="182"/>
      <c r="D596" s="182"/>
      <c r="E596" s="245"/>
      <c r="F596" s="245"/>
      <c r="G596" s="244"/>
      <c r="H596" s="243"/>
      <c r="I596" s="182"/>
      <c r="J596" s="182"/>
      <c r="K596" s="257" t="s">
        <v>1</v>
      </c>
      <c r="L596" s="231"/>
      <c r="M596" s="230"/>
      <c r="N596" s="217"/>
    </row>
    <row r="597" spans="2:14" ht="21" thickTop="1" thickBot="1" x14ac:dyDescent="0.4">
      <c r="B597" s="182"/>
      <c r="C597" s="256"/>
      <c r="D597" s="255"/>
      <c r="E597" s="254"/>
      <c r="F597" s="254"/>
      <c r="G597" s="253"/>
      <c r="H597" s="252"/>
      <c r="I597" s="251"/>
      <c r="J597" s="182"/>
      <c r="K597" s="182"/>
      <c r="L597" s="231"/>
      <c r="M597" s="230"/>
      <c r="N597" s="217"/>
    </row>
    <row r="598" spans="2:14" ht="20" thickTop="1" thickBot="1" x14ac:dyDescent="0.35">
      <c r="B598" s="182"/>
      <c r="C598" s="236"/>
      <c r="D598" s="241"/>
      <c r="E598" s="250" t="str">
        <f>E512</f>
        <v>CmO</v>
      </c>
      <c r="F598" s="250" t="str">
        <f>F512</f>
        <v>PmO</v>
      </c>
      <c r="G598" s="249" t="str">
        <f>G512</f>
        <v>F&amp;BCmO</v>
      </c>
      <c r="H598" s="248" t="str">
        <f>H512</f>
        <v>BmO</v>
      </c>
      <c r="I598" s="247"/>
      <c r="J598" s="182"/>
      <c r="K598" s="182"/>
      <c r="L598" s="231"/>
      <c r="M598" s="230"/>
      <c r="N598" s="217"/>
    </row>
    <row r="599" spans="2:14" ht="19" thickTop="1" x14ac:dyDescent="0.3">
      <c r="B599" s="182"/>
      <c r="C599" s="236"/>
      <c r="D599" s="246" t="str">
        <f>D513</f>
        <v>OFFRE TOTALE AVEC LES GÂTERIES ET LES CAFÉS GÂTERIES</v>
      </c>
      <c r="E599" s="245"/>
      <c r="F599" s="245"/>
      <c r="G599" s="244"/>
      <c r="H599" s="243"/>
      <c r="I599" s="242"/>
      <c r="J599" s="182"/>
      <c r="K599" s="182"/>
      <c r="L599" s="231"/>
      <c r="M599" s="230"/>
      <c r="N599" s="217"/>
    </row>
    <row r="600" spans="2:14" ht="19" x14ac:dyDescent="0.35">
      <c r="B600" s="182"/>
      <c r="C600" s="236"/>
      <c r="D600" s="241" t="str">
        <f>D514</f>
        <v>CmO—PmO—F&amp;B cost moyen offert—Marge brute</v>
      </c>
      <c r="E600" s="240">
        <f>+(E568+E569+E570+E571+E572+E573+E574+E575+E576+E577+E578+E579+E583+E584+E585+E586+E587+E588+E589+E590+E591+E592+E593+E594)/B594</f>
        <v>2.1649999999999996</v>
      </c>
      <c r="F600" s="240">
        <f>+(F568+F569+F570+F571+F572+F573+F574+F575+F576+F577+F578+F579+F583+F584+F585+F586+F587+F588+F589+F590+F591+F592+F593+F594)/B594</f>
        <v>7.1749999999999998</v>
      </c>
      <c r="G600" s="239">
        <f>E600/F600</f>
        <v>0.30174216027874562</v>
      </c>
      <c r="H600" s="238">
        <f>F600-E600</f>
        <v>5.01</v>
      </c>
      <c r="I600" s="237"/>
      <c r="J600" s="182"/>
      <c r="K600" s="182"/>
      <c r="L600" s="231">
        <f>+L580+L595</f>
        <v>2</v>
      </c>
      <c r="M600" s="230">
        <f>'% Occupation'!Q19</f>
        <v>2548</v>
      </c>
      <c r="N600" s="217"/>
    </row>
    <row r="601" spans="2:14" ht="18" x14ac:dyDescent="0.3">
      <c r="B601" s="182"/>
      <c r="C601" s="236"/>
      <c r="D601" s="182"/>
      <c r="E601" s="235"/>
      <c r="F601" s="235"/>
      <c r="G601" s="234"/>
      <c r="H601" s="233"/>
      <c r="I601" s="232"/>
      <c r="J601" s="182"/>
      <c r="K601" s="182"/>
      <c r="L601" s="231"/>
      <c r="M601" s="230"/>
      <c r="N601" s="217"/>
    </row>
    <row r="602" spans="2:14" ht="19" thickBot="1" x14ac:dyDescent="0.35">
      <c r="B602" s="182"/>
      <c r="C602" s="229"/>
      <c r="D602" s="228"/>
      <c r="E602" s="227"/>
      <c r="F602" s="227"/>
      <c r="G602" s="226"/>
      <c r="H602" s="225"/>
      <c r="I602" s="224"/>
      <c r="J602" s="182"/>
      <c r="K602" s="182"/>
      <c r="L602" s="223"/>
      <c r="M602" s="222"/>
      <c r="N602" s="217"/>
    </row>
    <row r="603" spans="2:14" ht="19" thickTop="1" x14ac:dyDescent="0.3">
      <c r="L603" s="220"/>
      <c r="M603" s="218"/>
      <c r="N603" s="217"/>
    </row>
    <row r="604" spans="2:14" ht="19" thickBot="1" x14ac:dyDescent="0.35">
      <c r="L604" s="220"/>
      <c r="M604" s="218"/>
      <c r="N604" s="217"/>
    </row>
    <row r="605" spans="2:14" ht="19" thickTop="1" x14ac:dyDescent="0.3">
      <c r="C605" s="489"/>
      <c r="D605" s="490"/>
      <c r="E605" s="490"/>
      <c r="F605" s="490"/>
      <c r="G605" s="490"/>
      <c r="H605" s="491"/>
      <c r="L605" s="220"/>
      <c r="M605" s="218"/>
      <c r="N605" s="217"/>
    </row>
    <row r="606" spans="2:14" ht="30" x14ac:dyDescent="0.3">
      <c r="C606" s="492"/>
      <c r="D606" s="493" t="s">
        <v>82</v>
      </c>
      <c r="E606" s="493" t="s">
        <v>64</v>
      </c>
      <c r="F606" s="493" t="s">
        <v>56</v>
      </c>
      <c r="G606" s="493" t="s">
        <v>57</v>
      </c>
      <c r="H606" s="494"/>
      <c r="L606" s="220"/>
      <c r="M606" s="218"/>
      <c r="N606" s="217"/>
    </row>
    <row r="607" spans="2:14" ht="27" thickBot="1" x14ac:dyDescent="0.35">
      <c r="C607" s="492"/>
      <c r="D607" s="495"/>
      <c r="E607" s="495"/>
      <c r="F607" s="495"/>
      <c r="G607" s="495"/>
      <c r="H607" s="494"/>
      <c r="L607" s="220"/>
      <c r="M607" s="218"/>
      <c r="N607" s="217"/>
    </row>
    <row r="608" spans="2:14" ht="28" thickTop="1" thickBot="1" x14ac:dyDescent="0.35">
      <c r="C608" s="492"/>
      <c r="D608" s="483">
        <f>+E608*(F608*G608)</f>
        <v>12272.866666666667</v>
      </c>
      <c r="E608" s="484">
        <f>M600</f>
        <v>2548</v>
      </c>
      <c r="F608" s="485">
        <f>L580</f>
        <v>1</v>
      </c>
      <c r="G608" s="486">
        <f>F580</f>
        <v>4.8166666666666664</v>
      </c>
      <c r="H608" s="494"/>
      <c r="L608" s="221" t="s">
        <v>1</v>
      </c>
      <c r="M608" s="218"/>
      <c r="N608" s="217"/>
    </row>
    <row r="609" spans="3:14" ht="28" thickTop="1" thickBot="1" x14ac:dyDescent="0.35">
      <c r="C609" s="492"/>
      <c r="D609" s="495"/>
      <c r="E609" s="487" t="s">
        <v>71</v>
      </c>
      <c r="F609" s="611">
        <f>+F608*G608</f>
        <v>4.8166666666666664</v>
      </c>
      <c r="G609" s="612"/>
      <c r="H609" s="494"/>
      <c r="L609" s="220"/>
      <c r="M609" s="218"/>
      <c r="N609" s="217"/>
    </row>
    <row r="610" spans="3:14" ht="19" thickTop="1" x14ac:dyDescent="0.3">
      <c r="C610" s="492"/>
      <c r="D610" s="496"/>
      <c r="E610" s="496"/>
      <c r="F610" s="496"/>
      <c r="G610" s="496"/>
      <c r="H610" s="494"/>
      <c r="L610" s="220"/>
      <c r="M610" s="218"/>
      <c r="N610" s="217"/>
    </row>
    <row r="611" spans="3:14" ht="30" x14ac:dyDescent="0.3">
      <c r="C611" s="492"/>
      <c r="D611" s="493" t="s">
        <v>81</v>
      </c>
      <c r="E611" s="493" t="s">
        <v>64</v>
      </c>
      <c r="F611" s="493" t="s">
        <v>56</v>
      </c>
      <c r="G611" s="493" t="s">
        <v>57</v>
      </c>
      <c r="H611" s="494"/>
      <c r="L611" s="220"/>
      <c r="M611" s="218"/>
      <c r="N611" s="217"/>
    </row>
    <row r="612" spans="3:14" ht="27" thickBot="1" x14ac:dyDescent="0.35">
      <c r="C612" s="492"/>
      <c r="D612" s="495"/>
      <c r="E612" s="495"/>
      <c r="F612" s="495"/>
      <c r="G612" s="495"/>
      <c r="H612" s="494"/>
      <c r="L612" s="220"/>
      <c r="M612" s="218"/>
      <c r="N612" s="217"/>
    </row>
    <row r="613" spans="3:14" ht="28" thickTop="1" thickBot="1" x14ac:dyDescent="0.35">
      <c r="C613" s="492"/>
      <c r="D613" s="483">
        <f>+E613*(F613*G613)</f>
        <v>24290.933333333334</v>
      </c>
      <c r="E613" s="484">
        <f>M600</f>
        <v>2548</v>
      </c>
      <c r="F613" s="485">
        <f>L595</f>
        <v>1</v>
      </c>
      <c r="G613" s="486">
        <f>F595</f>
        <v>9.5333333333333332</v>
      </c>
      <c r="H613" s="494"/>
      <c r="L613" s="221" t="s">
        <v>1</v>
      </c>
      <c r="M613" s="218"/>
      <c r="N613" s="217"/>
    </row>
    <row r="614" spans="3:14" ht="28" thickTop="1" thickBot="1" x14ac:dyDescent="0.35">
      <c r="C614" s="492"/>
      <c r="D614" s="495"/>
      <c r="E614" s="487" t="s">
        <v>71</v>
      </c>
      <c r="F614" s="611">
        <f>+F613*G613</f>
        <v>9.5333333333333332</v>
      </c>
      <c r="G614" s="612"/>
      <c r="H614" s="494"/>
      <c r="L614" s="220"/>
      <c r="M614" s="218"/>
      <c r="N614" s="217"/>
    </row>
    <row r="615" spans="3:14" ht="19" thickTop="1" x14ac:dyDescent="0.3">
      <c r="C615" s="492"/>
      <c r="D615" s="496"/>
      <c r="E615" s="496"/>
      <c r="F615" s="496"/>
      <c r="G615" s="496"/>
      <c r="H615" s="494"/>
      <c r="L615" s="220"/>
      <c r="M615" s="218"/>
      <c r="N615" s="217"/>
    </row>
    <row r="616" spans="3:14" ht="30" x14ac:dyDescent="0.3">
      <c r="C616" s="492"/>
      <c r="D616" s="493" t="s">
        <v>80</v>
      </c>
      <c r="E616" s="493" t="s">
        <v>64</v>
      </c>
      <c r="F616" s="493" t="s">
        <v>56</v>
      </c>
      <c r="G616" s="493" t="s">
        <v>57</v>
      </c>
      <c r="H616" s="494"/>
      <c r="L616" s="220"/>
      <c r="M616" s="218"/>
      <c r="N616" s="217"/>
    </row>
    <row r="617" spans="3:14" ht="27" thickBot="1" x14ac:dyDescent="0.35">
      <c r="C617" s="492"/>
      <c r="D617" s="495"/>
      <c r="E617" s="495"/>
      <c r="F617" s="495"/>
      <c r="G617" s="495"/>
      <c r="H617" s="494"/>
      <c r="L617" s="220"/>
      <c r="M617" s="218"/>
      <c r="N617" s="217"/>
    </row>
    <row r="618" spans="3:14" ht="28" thickTop="1" thickBot="1" x14ac:dyDescent="0.35">
      <c r="C618" s="492"/>
      <c r="D618" s="483">
        <f>+D608+D613</f>
        <v>36563.800000000003</v>
      </c>
      <c r="E618" s="484">
        <f>M600</f>
        <v>2548</v>
      </c>
      <c r="F618" s="488">
        <f>L600</f>
        <v>2</v>
      </c>
      <c r="G618" s="486">
        <f>D618/E618/F618</f>
        <v>7.1750000000000007</v>
      </c>
      <c r="H618" s="494" t="s">
        <v>1</v>
      </c>
      <c r="L618" s="220" t="s">
        <v>1</v>
      </c>
      <c r="M618" s="218"/>
      <c r="N618" s="217"/>
    </row>
    <row r="619" spans="3:14" ht="28" thickTop="1" thickBot="1" x14ac:dyDescent="0.35">
      <c r="C619" s="492"/>
      <c r="D619" s="495"/>
      <c r="E619" s="487" t="s">
        <v>71</v>
      </c>
      <c r="F619" s="611">
        <f>G618*F618</f>
        <v>14.350000000000001</v>
      </c>
      <c r="G619" s="612"/>
      <c r="H619" s="494"/>
      <c r="L619" s="220"/>
      <c r="M619" s="218"/>
      <c r="N619" s="217"/>
    </row>
    <row r="620" spans="3:14" ht="19" thickTop="1" x14ac:dyDescent="0.3">
      <c r="C620" s="492"/>
      <c r="D620" s="496"/>
      <c r="E620" s="496"/>
      <c r="F620" s="496"/>
      <c r="G620" s="496"/>
      <c r="H620" s="494"/>
      <c r="L620" s="219"/>
      <c r="M620" s="218"/>
      <c r="N620" s="217"/>
    </row>
    <row r="621" spans="3:14" ht="17" thickBot="1" x14ac:dyDescent="0.25">
      <c r="C621" s="497"/>
      <c r="D621" s="498"/>
      <c r="E621" s="498"/>
      <c r="F621" s="498"/>
      <c r="G621" s="498"/>
      <c r="H621" s="499"/>
      <c r="N621" s="217"/>
    </row>
    <row r="622" spans="3:14" ht="17" thickTop="1" x14ac:dyDescent="0.2">
      <c r="N622" s="217"/>
    </row>
    <row r="623" spans="3:14" ht="16" x14ac:dyDescent="0.2">
      <c r="N623" s="217"/>
    </row>
    <row r="624" spans="3:14" ht="16" x14ac:dyDescent="0.2">
      <c r="N624" s="217"/>
    </row>
    <row r="625" spans="14:14" ht="16" x14ac:dyDescent="0.2">
      <c r="N625" s="217"/>
    </row>
    <row r="626" spans="14:14" ht="16" x14ac:dyDescent="0.2">
      <c r="N626" s="217"/>
    </row>
    <row r="627" spans="14:14" ht="16" x14ac:dyDescent="0.2">
      <c r="N627" s="217"/>
    </row>
    <row r="628" spans="14:14" ht="16" x14ac:dyDescent="0.2">
      <c r="N628" s="217"/>
    </row>
    <row r="629" spans="14:14" ht="16" x14ac:dyDescent="0.2">
      <c r="N629" s="217"/>
    </row>
    <row r="630" spans="14:14" ht="16" x14ac:dyDescent="0.2">
      <c r="N630" s="217"/>
    </row>
    <row r="631" spans="14:14" ht="16" x14ac:dyDescent="0.2">
      <c r="N631" s="217"/>
    </row>
    <row r="632" spans="14:14" ht="16" x14ac:dyDescent="0.2">
      <c r="N632" s="217"/>
    </row>
    <row r="633" spans="14:14" ht="16" x14ac:dyDescent="0.2">
      <c r="N633" s="217"/>
    </row>
    <row r="634" spans="14:14" ht="16" x14ac:dyDescent="0.2">
      <c r="N634" s="217"/>
    </row>
    <row r="635" spans="14:14" ht="16" x14ac:dyDescent="0.2">
      <c r="N635" s="217"/>
    </row>
    <row r="636" spans="14:14" ht="16" x14ac:dyDescent="0.2">
      <c r="N636" s="217"/>
    </row>
    <row r="637" spans="14:14" ht="16" x14ac:dyDescent="0.2">
      <c r="N637" s="217"/>
    </row>
    <row r="638" spans="14:14" ht="16" x14ac:dyDescent="0.2">
      <c r="N638" s="217"/>
    </row>
    <row r="639" spans="14:14" ht="16" x14ac:dyDescent="0.2">
      <c r="N639" s="217"/>
    </row>
    <row r="640" spans="14:14" ht="16" x14ac:dyDescent="0.2">
      <c r="N640" s="217"/>
    </row>
    <row r="641" spans="14:14" ht="16" x14ac:dyDescent="0.2">
      <c r="N641" s="217"/>
    </row>
    <row r="642" spans="14:14" ht="16" x14ac:dyDescent="0.2">
      <c r="N642" s="217"/>
    </row>
  </sheetData>
  <sheetProtection algorithmName="SHA-512" hashValue="OmD127qzcD6pP6mjN9/dGXiH8cL0U9WjEIORoIrbDi7s5QQh+v2cyO81XAtdFcG+xLHhknFm2NfkZJY84OXRgA==" saltValue="xrq8LtBoCtvE+JPaxgbNkQ==" spinCount="100000" sheet="1" objects="1" scenarios="1"/>
  <mergeCells count="119">
    <mergeCell ref="L4:L6"/>
    <mergeCell ref="J27:J33"/>
    <mergeCell ref="J34:J35"/>
    <mergeCell ref="E47:E49"/>
    <mergeCell ref="F47:F49"/>
    <mergeCell ref="L520:L522"/>
    <mergeCell ref="M520:M522"/>
    <mergeCell ref="M4:M6"/>
    <mergeCell ref="J9:J11"/>
    <mergeCell ref="J12:J18"/>
    <mergeCell ref="J19:J20"/>
    <mergeCell ref="J24:J26"/>
    <mergeCell ref="J138:J140"/>
    <mergeCell ref="J141:J147"/>
    <mergeCell ref="J148:J149"/>
    <mergeCell ref="M90:M92"/>
    <mergeCell ref="E133:E135"/>
    <mergeCell ref="F133:F135"/>
    <mergeCell ref="G133:G135"/>
    <mergeCell ref="H133:H135"/>
    <mergeCell ref="L133:L135"/>
    <mergeCell ref="M133:M135"/>
    <mergeCell ref="G47:G49"/>
    <mergeCell ref="H47:H49"/>
    <mergeCell ref="L219:L221"/>
    <mergeCell ref="M219:M221"/>
    <mergeCell ref="J153:J155"/>
    <mergeCell ref="J156:J162"/>
    <mergeCell ref="J163:J164"/>
    <mergeCell ref="L47:L49"/>
    <mergeCell ref="M47:M49"/>
    <mergeCell ref="E90:E92"/>
    <mergeCell ref="F90:F92"/>
    <mergeCell ref="G90:G92"/>
    <mergeCell ref="H90:H92"/>
    <mergeCell ref="L90:L92"/>
    <mergeCell ref="L176:L178"/>
    <mergeCell ref="M176:M178"/>
    <mergeCell ref="A260:A516"/>
    <mergeCell ref="E262:E264"/>
    <mergeCell ref="F262:F264"/>
    <mergeCell ref="G262:G264"/>
    <mergeCell ref="H262:H264"/>
    <mergeCell ref="E176:E178"/>
    <mergeCell ref="F176:F178"/>
    <mergeCell ref="G176:G178"/>
    <mergeCell ref="H176:H178"/>
    <mergeCell ref="A1:A258"/>
    <mergeCell ref="E4:E6"/>
    <mergeCell ref="F4:F6"/>
    <mergeCell ref="G4:G6"/>
    <mergeCell ref="H4:H6"/>
    <mergeCell ref="E219:E221"/>
    <mergeCell ref="F219:F221"/>
    <mergeCell ref="G219:G221"/>
    <mergeCell ref="H219:H221"/>
    <mergeCell ref="E477:E479"/>
    <mergeCell ref="F477:F479"/>
    <mergeCell ref="G477:G479"/>
    <mergeCell ref="H477:H479"/>
    <mergeCell ref="E348:E350"/>
    <mergeCell ref="F348:F350"/>
    <mergeCell ref="L262:L264"/>
    <mergeCell ref="J285:J291"/>
    <mergeCell ref="J292:J293"/>
    <mergeCell ref="E305:E307"/>
    <mergeCell ref="F305:F307"/>
    <mergeCell ref="G305:G307"/>
    <mergeCell ref="H305:H307"/>
    <mergeCell ref="L305:L307"/>
    <mergeCell ref="M262:M264"/>
    <mergeCell ref="J267:J269"/>
    <mergeCell ref="J270:J276"/>
    <mergeCell ref="J277:J278"/>
    <mergeCell ref="J282:J284"/>
    <mergeCell ref="M305:M307"/>
    <mergeCell ref="G348:G350"/>
    <mergeCell ref="H348:H350"/>
    <mergeCell ref="L348:L350"/>
    <mergeCell ref="M348:M350"/>
    <mergeCell ref="J411:J413"/>
    <mergeCell ref="J414:J420"/>
    <mergeCell ref="J421:J422"/>
    <mergeCell ref="E434:E436"/>
    <mergeCell ref="F434:F436"/>
    <mergeCell ref="G434:G436"/>
    <mergeCell ref="H434:H436"/>
    <mergeCell ref="L434:L436"/>
    <mergeCell ref="M434:M436"/>
    <mergeCell ref="E391:E393"/>
    <mergeCell ref="F391:F393"/>
    <mergeCell ref="G391:G393"/>
    <mergeCell ref="H391:H393"/>
    <mergeCell ref="L391:L393"/>
    <mergeCell ref="M391:M393"/>
    <mergeCell ref="J396:J398"/>
    <mergeCell ref="J399:J405"/>
    <mergeCell ref="J406:J407"/>
    <mergeCell ref="L477:L479"/>
    <mergeCell ref="M477:M479"/>
    <mergeCell ref="F614:G614"/>
    <mergeCell ref="F619:G619"/>
    <mergeCell ref="J568:J570"/>
    <mergeCell ref="J571:J577"/>
    <mergeCell ref="J578:J579"/>
    <mergeCell ref="J583:J585"/>
    <mergeCell ref="J586:J592"/>
    <mergeCell ref="L563:L565"/>
    <mergeCell ref="M563:M565"/>
    <mergeCell ref="E520:E522"/>
    <mergeCell ref="F520:F522"/>
    <mergeCell ref="G520:G522"/>
    <mergeCell ref="H520:H522"/>
    <mergeCell ref="J593:J594"/>
    <mergeCell ref="F609:G609"/>
    <mergeCell ref="E563:E565"/>
    <mergeCell ref="F563:F565"/>
    <mergeCell ref="G563:G565"/>
    <mergeCell ref="H563:H565"/>
  </mergeCells>
  <pageMargins left="0.78740157499999996" right="0.78740157499999996" top="0.984251969" bottom="0.984251969" header="0.5" footer="0.5"/>
  <pageSetup orientation="portrait" horizontalDpi="4294967292" verticalDpi="4294967292"/>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D0CA3-05A4-6349-B4BF-47BE3C75540C}">
  <sheetPr>
    <tabColor theme="1"/>
  </sheetPr>
  <dimension ref="A1:S122"/>
  <sheetViews>
    <sheetView zoomScale="190" zoomScaleNormal="190" zoomScalePageLayoutView="125" workbookViewId="0">
      <selection activeCell="C3" sqref="C3"/>
    </sheetView>
  </sheetViews>
  <sheetFormatPr baseColWidth="10" defaultColWidth="10.6640625" defaultRowHeight="13" x14ac:dyDescent="0.15"/>
  <cols>
    <col min="1" max="1" width="10.6640625" style="149"/>
    <col min="2" max="2" width="3.6640625" style="149" customWidth="1"/>
    <col min="3" max="3" width="55.1640625" style="149" bestFit="1" customWidth="1"/>
    <col min="4" max="4" width="16.1640625" style="149" customWidth="1"/>
    <col min="5" max="6" width="12.1640625" style="149" customWidth="1"/>
    <col min="7" max="7" width="16.1640625" style="149" customWidth="1"/>
    <col min="8" max="8" width="4.33203125" style="149" customWidth="1"/>
    <col min="9" max="9" width="3.83203125" style="149" customWidth="1"/>
    <col min="10" max="10" width="40.1640625" style="149" customWidth="1"/>
    <col min="11" max="11" width="18.83203125" style="149" customWidth="1"/>
    <col min="12" max="12" width="2.6640625" style="149" customWidth="1"/>
    <col min="13" max="13" width="2.5" style="149" customWidth="1"/>
    <col min="14" max="14" width="1.5" style="149" customWidth="1"/>
    <col min="15" max="15" width="7" style="149" customWidth="1"/>
    <col min="16" max="17" width="1.6640625" style="149" customWidth="1"/>
    <col min="18" max="18" width="4.6640625" style="149" customWidth="1"/>
    <col min="19" max="16384" width="10.6640625" style="149"/>
  </cols>
  <sheetData>
    <row r="1" spans="1:12" x14ac:dyDescent="0.15">
      <c r="K1" s="355"/>
    </row>
    <row r="2" spans="1:12" ht="22" x14ac:dyDescent="0.25">
      <c r="C2" s="287" t="s">
        <v>159</v>
      </c>
      <c r="K2" s="355"/>
    </row>
    <row r="3" spans="1:12" ht="23" thickBot="1" x14ac:dyDescent="0.3">
      <c r="C3" s="285"/>
      <c r="K3" s="355"/>
    </row>
    <row r="4" spans="1:12" ht="23" thickTop="1" x14ac:dyDescent="0.25">
      <c r="C4" s="285"/>
      <c r="D4" s="626" t="s">
        <v>160</v>
      </c>
      <c r="E4" s="626" t="s">
        <v>161</v>
      </c>
      <c r="F4" s="626" t="s">
        <v>162</v>
      </c>
      <c r="G4" s="626" t="s">
        <v>163</v>
      </c>
      <c r="H4" s="381"/>
      <c r="K4" s="355"/>
    </row>
    <row r="5" spans="1:12" ht="22" x14ac:dyDescent="0.25">
      <c r="C5" s="285"/>
      <c r="D5" s="627"/>
      <c r="E5" s="629"/>
      <c r="F5" s="629"/>
      <c r="G5" s="629"/>
      <c r="H5" s="284"/>
      <c r="K5" s="355"/>
    </row>
    <row r="6" spans="1:12" ht="17" customHeight="1" thickBot="1" x14ac:dyDescent="0.2">
      <c r="D6" s="628"/>
      <c r="E6" s="630"/>
      <c r="F6" s="630"/>
      <c r="G6" s="630"/>
      <c r="H6" s="284"/>
      <c r="K6" s="355"/>
    </row>
    <row r="7" spans="1:12" ht="17" customHeight="1" thickTop="1" x14ac:dyDescent="0.15">
      <c r="D7" s="382"/>
      <c r="E7" s="284"/>
      <c r="F7" s="284"/>
      <c r="G7" s="284"/>
      <c r="H7" s="284"/>
      <c r="K7" s="355"/>
    </row>
    <row r="8" spans="1:12" ht="18" x14ac:dyDescent="0.2">
      <c r="C8" s="500" t="s">
        <v>164</v>
      </c>
      <c r="D8" s="384" t="s">
        <v>1</v>
      </c>
      <c r="E8" s="384" t="s">
        <v>1</v>
      </c>
      <c r="F8" s="384" t="s">
        <v>1</v>
      </c>
      <c r="G8" s="384" t="s">
        <v>1</v>
      </c>
      <c r="H8" s="384"/>
      <c r="J8" s="201"/>
      <c r="K8" s="355"/>
    </row>
    <row r="9" spans="1:12" ht="18" x14ac:dyDescent="0.2">
      <c r="C9" s="383"/>
      <c r="D9" s="384"/>
      <c r="E9" s="384"/>
      <c r="F9" s="384"/>
      <c r="G9" s="384"/>
      <c r="H9" s="384"/>
      <c r="K9" s="355"/>
    </row>
    <row r="10" spans="1:12" x14ac:dyDescent="0.15">
      <c r="A10" s="149">
        <v>1</v>
      </c>
      <c r="B10" s="149">
        <v>1</v>
      </c>
      <c r="C10" s="149" t="s">
        <v>178</v>
      </c>
      <c r="D10" s="425">
        <v>6.5</v>
      </c>
      <c r="E10" s="425">
        <v>13</v>
      </c>
      <c r="F10" s="282">
        <f>+D10/E10</f>
        <v>0.5</v>
      </c>
      <c r="G10" s="385">
        <f>+E10-D10</f>
        <v>6.5</v>
      </c>
      <c r="H10" s="385"/>
      <c r="J10" s="201"/>
      <c r="K10" s="386"/>
    </row>
    <row r="11" spans="1:12" x14ac:dyDescent="0.15">
      <c r="A11" s="149">
        <v>2</v>
      </c>
      <c r="B11" s="149">
        <v>2</v>
      </c>
      <c r="C11" s="387" t="s">
        <v>176</v>
      </c>
      <c r="D11" s="425">
        <v>40</v>
      </c>
      <c r="E11" s="425">
        <v>80</v>
      </c>
      <c r="F11" s="282">
        <f t="shared" ref="F11:F19" si="0">+D11/E11</f>
        <v>0.5</v>
      </c>
      <c r="G11" s="385">
        <f t="shared" ref="G11:G19" si="1">+E11-D11</f>
        <v>40</v>
      </c>
      <c r="H11" s="385"/>
      <c r="J11" s="201" t="s">
        <v>1</v>
      </c>
      <c r="K11" s="386"/>
    </row>
    <row r="12" spans="1:12" x14ac:dyDescent="0.15">
      <c r="A12" s="149">
        <v>3</v>
      </c>
      <c r="B12" s="149">
        <v>3</v>
      </c>
      <c r="C12" s="149" t="s">
        <v>175</v>
      </c>
      <c r="D12" s="425">
        <v>40</v>
      </c>
      <c r="E12" s="425">
        <v>80</v>
      </c>
      <c r="F12" s="282">
        <f t="shared" si="0"/>
        <v>0.5</v>
      </c>
      <c r="G12" s="385">
        <f t="shared" si="1"/>
        <v>40</v>
      </c>
      <c r="H12" s="385"/>
      <c r="J12" s="201"/>
      <c r="K12" s="388"/>
    </row>
    <row r="13" spans="1:12" x14ac:dyDescent="0.15">
      <c r="A13" s="149">
        <v>4</v>
      </c>
      <c r="B13" s="149">
        <v>4</v>
      </c>
      <c r="C13" s="149" t="s">
        <v>174</v>
      </c>
      <c r="D13" s="425">
        <v>5</v>
      </c>
      <c r="E13" s="425">
        <v>10</v>
      </c>
      <c r="F13" s="282">
        <f t="shared" si="0"/>
        <v>0.5</v>
      </c>
      <c r="G13" s="385">
        <f t="shared" si="1"/>
        <v>5</v>
      </c>
      <c r="H13" s="385"/>
      <c r="J13" s="201"/>
      <c r="K13" s="386"/>
    </row>
    <row r="14" spans="1:12" x14ac:dyDescent="0.15">
      <c r="A14" s="149">
        <v>5</v>
      </c>
      <c r="B14" s="149">
        <v>5</v>
      </c>
      <c r="C14" s="149" t="s">
        <v>173</v>
      </c>
      <c r="D14" s="425">
        <v>19</v>
      </c>
      <c r="E14" s="425">
        <v>38</v>
      </c>
      <c r="F14" s="282">
        <f t="shared" si="0"/>
        <v>0.5</v>
      </c>
      <c r="G14" s="385">
        <f t="shared" si="1"/>
        <v>19</v>
      </c>
      <c r="H14" s="385"/>
      <c r="J14" s="201"/>
      <c r="K14" s="389"/>
      <c r="L14" s="384"/>
    </row>
    <row r="15" spans="1:12" x14ac:dyDescent="0.15">
      <c r="A15" s="149">
        <v>6</v>
      </c>
      <c r="B15" s="149">
        <v>6</v>
      </c>
      <c r="C15" s="149" t="s">
        <v>172</v>
      </c>
      <c r="D15" s="425">
        <v>9</v>
      </c>
      <c r="E15" s="425">
        <v>18</v>
      </c>
      <c r="F15" s="282">
        <f t="shared" si="0"/>
        <v>0.5</v>
      </c>
      <c r="G15" s="385">
        <f t="shared" si="1"/>
        <v>9</v>
      </c>
      <c r="H15" s="385"/>
      <c r="K15" s="355"/>
    </row>
    <row r="16" spans="1:12" x14ac:dyDescent="0.15">
      <c r="A16" s="149">
        <v>7</v>
      </c>
      <c r="B16" s="149">
        <v>7</v>
      </c>
      <c r="C16" s="387" t="s">
        <v>171</v>
      </c>
      <c r="D16" s="425">
        <v>14</v>
      </c>
      <c r="E16" s="425">
        <v>28</v>
      </c>
      <c r="F16" s="282">
        <f t="shared" si="0"/>
        <v>0.5</v>
      </c>
      <c r="G16" s="385">
        <f t="shared" si="1"/>
        <v>14</v>
      </c>
      <c r="H16" s="385"/>
      <c r="K16" s="355"/>
    </row>
    <row r="17" spans="1:16" x14ac:dyDescent="0.15">
      <c r="A17" s="149">
        <v>8</v>
      </c>
      <c r="B17" s="149">
        <v>8</v>
      </c>
      <c r="C17" s="149" t="s">
        <v>170</v>
      </c>
      <c r="D17" s="425">
        <v>6</v>
      </c>
      <c r="E17" s="425">
        <v>12</v>
      </c>
      <c r="F17" s="282">
        <f t="shared" si="0"/>
        <v>0.5</v>
      </c>
      <c r="G17" s="385">
        <f t="shared" si="1"/>
        <v>6</v>
      </c>
      <c r="H17" s="385"/>
      <c r="K17" s="355"/>
    </row>
    <row r="18" spans="1:16" x14ac:dyDescent="0.15">
      <c r="A18" s="149">
        <v>9</v>
      </c>
      <c r="B18" s="149">
        <v>9</v>
      </c>
      <c r="C18" s="387" t="s">
        <v>169</v>
      </c>
      <c r="D18" s="425">
        <v>7.5</v>
      </c>
      <c r="E18" s="425">
        <v>15</v>
      </c>
      <c r="F18" s="282">
        <f t="shared" si="0"/>
        <v>0.5</v>
      </c>
      <c r="G18" s="385">
        <f t="shared" si="1"/>
        <v>7.5</v>
      </c>
      <c r="H18" s="385"/>
      <c r="K18" s="355"/>
    </row>
    <row r="19" spans="1:16" x14ac:dyDescent="0.15">
      <c r="A19" s="149">
        <v>10</v>
      </c>
      <c r="B19" s="149">
        <v>10</v>
      </c>
      <c r="C19" s="149" t="s">
        <v>177</v>
      </c>
      <c r="D19" s="425">
        <v>1.5</v>
      </c>
      <c r="E19" s="425">
        <v>3</v>
      </c>
      <c r="F19" s="282">
        <f t="shared" si="0"/>
        <v>0.5</v>
      </c>
      <c r="G19" s="385">
        <f t="shared" si="1"/>
        <v>1.5</v>
      </c>
      <c r="H19" s="385"/>
      <c r="K19" s="355"/>
    </row>
    <row r="20" spans="1:16" x14ac:dyDescent="0.15">
      <c r="D20" s="385"/>
      <c r="E20" s="385"/>
      <c r="F20" s="282"/>
      <c r="G20" s="385"/>
      <c r="H20" s="385"/>
      <c r="K20" s="355"/>
    </row>
    <row r="21" spans="1:16" ht="16" x14ac:dyDescent="0.3">
      <c r="C21" s="201" t="s">
        <v>165</v>
      </c>
      <c r="D21" s="390">
        <f>+(SUM(D10:D19))/B19</f>
        <v>14.85</v>
      </c>
      <c r="E21" s="390">
        <f>+(SUM(E10:E19))/B19</f>
        <v>29.7</v>
      </c>
      <c r="F21" s="391">
        <f>D21/E21</f>
        <v>0.5</v>
      </c>
      <c r="G21" s="392">
        <f>E21-D21</f>
        <v>14.85</v>
      </c>
      <c r="H21" s="392"/>
      <c r="K21" s="355"/>
    </row>
    <row r="22" spans="1:16" x14ac:dyDescent="0.15">
      <c r="E22" s="385"/>
      <c r="K22" s="355"/>
    </row>
    <row r="23" spans="1:16" x14ac:dyDescent="0.15">
      <c r="A23" s="295"/>
      <c r="B23" s="295"/>
      <c r="C23" s="295"/>
      <c r="D23" s="295"/>
      <c r="E23" s="295"/>
      <c r="F23" s="295"/>
      <c r="G23" s="295"/>
      <c r="H23" s="295"/>
      <c r="I23" s="295"/>
      <c r="J23" s="295"/>
      <c r="K23" s="295"/>
      <c r="L23" s="295"/>
      <c r="M23" s="295"/>
      <c r="N23" s="295"/>
      <c r="O23" s="295"/>
    </row>
    <row r="24" spans="1:16" ht="19" thickBot="1" x14ac:dyDescent="0.35">
      <c r="C24" s="201"/>
      <c r="D24" s="392"/>
      <c r="E24" s="392"/>
      <c r="F24" s="391"/>
      <c r="G24" s="392"/>
      <c r="H24" s="392"/>
      <c r="J24" s="201" t="s">
        <v>1</v>
      </c>
      <c r="K24" s="388" t="s">
        <v>1</v>
      </c>
      <c r="L24" s="295"/>
      <c r="M24" s="295"/>
      <c r="N24" s="295"/>
      <c r="O24" s="295"/>
      <c r="P24" s="182"/>
    </row>
    <row r="25" spans="1:16" ht="18" thickTop="1" thickBot="1" x14ac:dyDescent="0.35">
      <c r="B25" s="393"/>
      <c r="C25" s="394"/>
      <c r="D25" s="395"/>
      <c r="E25" s="395"/>
      <c r="F25" s="396"/>
      <c r="G25" s="395"/>
      <c r="H25" s="397"/>
      <c r="L25" s="295"/>
      <c r="M25" s="295"/>
      <c r="N25" s="295"/>
      <c r="O25" s="295"/>
    </row>
    <row r="26" spans="1:16" ht="15" thickTop="1" thickBot="1" x14ac:dyDescent="0.2">
      <c r="B26" s="359"/>
      <c r="C26" s="201"/>
      <c r="D26" s="398" t="s">
        <v>60</v>
      </c>
      <c r="E26" s="398" t="s">
        <v>57</v>
      </c>
      <c r="F26" s="399" t="s">
        <v>162</v>
      </c>
      <c r="G26" s="400" t="s">
        <v>166</v>
      </c>
      <c r="H26" s="401"/>
      <c r="L26" s="295"/>
      <c r="M26" s="295"/>
      <c r="N26" s="295"/>
      <c r="O26" s="295"/>
    </row>
    <row r="27" spans="1:16" ht="19" thickTop="1" x14ac:dyDescent="0.2">
      <c r="B27" s="359"/>
      <c r="C27" s="402" t="s">
        <v>167</v>
      </c>
      <c r="D27" s="385"/>
      <c r="E27" s="385"/>
      <c r="F27" s="282"/>
      <c r="H27" s="403"/>
      <c r="J27" s="295"/>
      <c r="K27" s="295"/>
      <c r="L27" s="295"/>
      <c r="M27" s="295"/>
      <c r="N27" s="295"/>
      <c r="O27" s="295"/>
    </row>
    <row r="28" spans="1:16" ht="19" x14ac:dyDescent="0.35">
      <c r="B28" s="359"/>
      <c r="C28" s="201" t="s">
        <v>168</v>
      </c>
      <c r="D28" s="404">
        <f>+D21</f>
        <v>14.85</v>
      </c>
      <c r="E28" s="405">
        <f>+E21</f>
        <v>29.7</v>
      </c>
      <c r="F28" s="406">
        <f>+F21</f>
        <v>0.5</v>
      </c>
      <c r="G28" s="404">
        <f>+G21</f>
        <v>14.85</v>
      </c>
      <c r="H28" s="407"/>
      <c r="J28" s="295"/>
      <c r="K28" s="295"/>
      <c r="L28" s="295"/>
      <c r="M28" s="295"/>
      <c r="N28" s="295"/>
      <c r="O28" s="295"/>
    </row>
    <row r="29" spans="1:16" ht="17" thickBot="1" x14ac:dyDescent="0.25">
      <c r="B29" s="408"/>
      <c r="C29" s="409"/>
      <c r="D29" s="410"/>
      <c r="E29" s="410"/>
      <c r="F29" s="226"/>
      <c r="G29" s="225"/>
      <c r="H29" s="224"/>
      <c r="J29" s="295"/>
      <c r="K29" s="295"/>
      <c r="L29" s="295"/>
      <c r="M29" s="295"/>
      <c r="N29" s="295"/>
      <c r="O29" s="295"/>
    </row>
    <row r="30" spans="1:16" ht="17" thickTop="1" x14ac:dyDescent="0.2">
      <c r="C30" s="295"/>
      <c r="D30" s="295"/>
      <c r="E30" s="295"/>
      <c r="F30" s="295"/>
      <c r="G30" s="295"/>
      <c r="H30" s="233"/>
      <c r="J30" s="295"/>
      <c r="K30" s="295"/>
      <c r="L30" s="295"/>
      <c r="M30" s="295"/>
      <c r="N30" s="295"/>
      <c r="O30" s="295"/>
    </row>
    <row r="31" spans="1:16" ht="19" x14ac:dyDescent="0.35">
      <c r="C31" s="295"/>
      <c r="D31" s="295"/>
      <c r="E31" s="295"/>
      <c r="F31" s="295"/>
      <c r="G31" s="295"/>
      <c r="H31" s="404"/>
      <c r="J31" s="295"/>
      <c r="K31" s="295"/>
      <c r="L31" s="295"/>
      <c r="M31" s="295"/>
      <c r="N31" s="295"/>
      <c r="O31" s="295"/>
    </row>
    <row r="32" spans="1:16" x14ac:dyDescent="0.15">
      <c r="J32" s="295"/>
      <c r="K32" s="295"/>
      <c r="L32" s="295"/>
      <c r="M32" s="295"/>
      <c r="N32" s="295"/>
      <c r="O32" s="295"/>
    </row>
    <row r="33" spans="1:15" x14ac:dyDescent="0.15">
      <c r="E33" s="149" t="s">
        <v>1</v>
      </c>
      <c r="J33" s="295"/>
      <c r="K33" s="295"/>
      <c r="L33" s="295"/>
      <c r="M33" s="295"/>
      <c r="N33" s="295"/>
      <c r="O33" s="295"/>
    </row>
    <row r="34" spans="1:15" x14ac:dyDescent="0.15">
      <c r="D34" s="385"/>
      <c r="E34" s="385"/>
      <c r="J34" s="295"/>
      <c r="K34" s="295"/>
      <c r="L34" s="295"/>
      <c r="M34" s="295"/>
      <c r="N34" s="295"/>
      <c r="O34" s="295"/>
    </row>
    <row r="35" spans="1:15" x14ac:dyDescent="0.15">
      <c r="D35" s="385"/>
      <c r="E35" s="385"/>
      <c r="J35" s="295"/>
      <c r="K35" s="295"/>
      <c r="L35" s="295"/>
      <c r="M35" s="295"/>
      <c r="N35" s="295"/>
      <c r="O35" s="295"/>
    </row>
    <row r="36" spans="1:15" x14ac:dyDescent="0.15">
      <c r="D36" s="385"/>
      <c r="J36" s="295"/>
      <c r="K36" s="295"/>
      <c r="L36" s="295"/>
      <c r="M36" s="295"/>
      <c r="N36" s="295"/>
      <c r="O36" s="295"/>
    </row>
    <row r="37" spans="1:15" x14ac:dyDescent="0.15">
      <c r="D37" s="385"/>
      <c r="J37" s="295"/>
      <c r="K37" s="295"/>
      <c r="L37" s="295"/>
      <c r="M37" s="295"/>
      <c r="N37" s="295"/>
      <c r="O37" s="295"/>
    </row>
    <row r="38" spans="1:15" x14ac:dyDescent="0.15">
      <c r="A38" s="295"/>
      <c r="B38" s="295"/>
      <c r="C38" s="295"/>
      <c r="D38" s="295"/>
      <c r="E38" s="295"/>
      <c r="F38" s="295"/>
      <c r="G38" s="295"/>
      <c r="H38" s="295"/>
      <c r="I38" s="295"/>
      <c r="J38" s="295"/>
      <c r="K38" s="295"/>
      <c r="L38" s="295"/>
      <c r="M38" s="295"/>
      <c r="N38" s="295"/>
      <c r="O38" s="295"/>
    </row>
    <row r="39" spans="1:15" x14ac:dyDescent="0.15">
      <c r="A39" s="295"/>
      <c r="B39" s="295"/>
      <c r="C39" s="295"/>
      <c r="D39" s="295"/>
      <c r="E39" s="295"/>
      <c r="F39" s="295"/>
      <c r="G39" s="295"/>
      <c r="H39" s="295"/>
      <c r="I39" s="295"/>
      <c r="J39" s="295"/>
      <c r="K39" s="295"/>
      <c r="L39" s="295"/>
      <c r="M39" s="295"/>
      <c r="N39" s="295"/>
      <c r="O39" s="295"/>
    </row>
    <row r="40" spans="1:15" x14ac:dyDescent="0.15">
      <c r="A40" s="295"/>
      <c r="B40" s="295"/>
      <c r="C40" s="295"/>
      <c r="D40" s="295"/>
      <c r="E40" s="295"/>
      <c r="F40" s="295"/>
      <c r="G40" s="295"/>
      <c r="H40" s="295"/>
      <c r="I40" s="295"/>
      <c r="J40" s="295"/>
      <c r="K40" s="295"/>
      <c r="L40" s="295"/>
      <c r="M40" s="295"/>
      <c r="N40" s="295"/>
      <c r="O40" s="295"/>
    </row>
    <row r="41" spans="1:15" x14ac:dyDescent="0.15">
      <c r="A41" s="295"/>
      <c r="B41" s="295"/>
      <c r="C41" s="295"/>
      <c r="D41" s="295"/>
      <c r="E41" s="295"/>
      <c r="F41" s="295"/>
      <c r="G41" s="295"/>
      <c r="H41" s="295"/>
      <c r="I41" s="295"/>
      <c r="J41" s="295"/>
      <c r="K41" s="295"/>
      <c r="L41" s="295"/>
      <c r="M41" s="295"/>
      <c r="N41" s="295"/>
      <c r="O41" s="295"/>
    </row>
    <row r="42" spans="1:15" x14ac:dyDescent="0.15">
      <c r="A42" s="295"/>
      <c r="B42" s="295"/>
      <c r="C42" s="295"/>
      <c r="D42" s="295"/>
      <c r="E42" s="295"/>
      <c r="F42" s="295"/>
      <c r="G42" s="295"/>
      <c r="H42" s="295"/>
      <c r="I42" s="295"/>
      <c r="J42" s="295"/>
      <c r="K42" s="295"/>
      <c r="L42" s="295"/>
      <c r="M42" s="295"/>
      <c r="N42" s="295"/>
      <c r="O42" s="295"/>
    </row>
    <row r="43" spans="1:15" x14ac:dyDescent="0.15">
      <c r="A43" s="295"/>
      <c r="B43" s="295"/>
      <c r="C43" s="295"/>
      <c r="D43" s="295"/>
      <c r="E43" s="295"/>
      <c r="F43" s="295"/>
      <c r="G43" s="295"/>
      <c r="H43" s="295"/>
      <c r="I43" s="295"/>
      <c r="J43" s="295"/>
      <c r="K43" s="295"/>
      <c r="L43" s="295"/>
      <c r="M43" s="295"/>
      <c r="N43" s="295"/>
      <c r="O43" s="295"/>
    </row>
    <row r="44" spans="1:15" x14ac:dyDescent="0.15">
      <c r="A44" s="295"/>
      <c r="B44" s="295"/>
      <c r="C44" s="295"/>
      <c r="D44" s="295"/>
      <c r="E44" s="295"/>
      <c r="F44" s="295"/>
      <c r="G44" s="295"/>
      <c r="H44" s="295"/>
      <c r="I44" s="295"/>
      <c r="J44" s="295"/>
      <c r="K44" s="295"/>
      <c r="L44" s="295"/>
      <c r="M44" s="295"/>
      <c r="N44" s="295"/>
      <c r="O44" s="295"/>
    </row>
    <row r="45" spans="1:15" x14ac:dyDescent="0.15">
      <c r="A45" s="295"/>
      <c r="B45" s="295"/>
      <c r="C45" s="295"/>
      <c r="D45" s="295"/>
      <c r="E45" s="295"/>
      <c r="F45" s="295"/>
      <c r="G45" s="295"/>
      <c r="H45" s="295"/>
      <c r="I45" s="295"/>
      <c r="J45" s="295"/>
      <c r="K45" s="295"/>
      <c r="L45" s="295"/>
      <c r="M45" s="295"/>
      <c r="N45" s="295"/>
      <c r="O45" s="295"/>
    </row>
    <row r="46" spans="1:15" x14ac:dyDescent="0.15">
      <c r="A46" s="295"/>
      <c r="B46" s="295"/>
      <c r="C46" s="295"/>
      <c r="D46" s="295"/>
      <c r="E46" s="295"/>
      <c r="F46" s="295"/>
      <c r="G46" s="295"/>
      <c r="H46" s="295"/>
      <c r="I46" s="295"/>
      <c r="J46" s="295"/>
      <c r="K46" s="295"/>
      <c r="L46" s="295"/>
      <c r="M46" s="295"/>
      <c r="N46" s="295"/>
      <c r="O46" s="295"/>
    </row>
    <row r="47" spans="1:15" x14ac:dyDescent="0.15">
      <c r="A47" s="295"/>
      <c r="B47" s="295"/>
      <c r="C47" s="295"/>
      <c r="D47" s="295"/>
      <c r="E47" s="295"/>
      <c r="F47" s="295"/>
      <c r="G47" s="295"/>
      <c r="H47" s="295"/>
      <c r="I47" s="295"/>
      <c r="J47" s="295"/>
      <c r="K47" s="295"/>
      <c r="L47" s="295"/>
      <c r="M47" s="295"/>
      <c r="N47" s="295"/>
      <c r="O47" s="295"/>
    </row>
    <row r="48" spans="1:15" x14ac:dyDescent="0.15">
      <c r="A48" s="295"/>
      <c r="B48" s="295"/>
      <c r="C48" s="295"/>
      <c r="D48" s="295"/>
      <c r="E48" s="295"/>
      <c r="F48" s="295"/>
      <c r="G48" s="295"/>
      <c r="H48" s="295"/>
      <c r="I48" s="295"/>
      <c r="J48" s="295"/>
      <c r="K48" s="295"/>
      <c r="L48" s="295"/>
      <c r="M48" s="295"/>
      <c r="N48" s="295"/>
      <c r="O48" s="295"/>
    </row>
    <row r="49" spans="1:15" x14ac:dyDescent="0.15">
      <c r="A49" s="295"/>
      <c r="B49" s="295"/>
      <c r="C49" s="295"/>
      <c r="D49" s="295"/>
      <c r="E49" s="295"/>
      <c r="F49" s="295"/>
      <c r="G49" s="295"/>
      <c r="H49" s="295"/>
      <c r="I49" s="295"/>
      <c r="J49" s="295"/>
      <c r="K49" s="295"/>
      <c r="L49" s="295"/>
      <c r="M49" s="295"/>
      <c r="N49" s="295"/>
      <c r="O49" s="295"/>
    </row>
    <row r="50" spans="1:15" x14ac:dyDescent="0.15">
      <c r="A50" s="295"/>
      <c r="B50" s="295"/>
      <c r="C50" s="295"/>
      <c r="D50" s="295"/>
      <c r="E50" s="295"/>
      <c r="F50" s="295"/>
      <c r="G50" s="295"/>
      <c r="H50" s="295"/>
      <c r="I50" s="295"/>
      <c r="J50" s="295"/>
      <c r="K50" s="295"/>
      <c r="L50" s="295"/>
      <c r="M50" s="295"/>
      <c r="N50" s="295"/>
      <c r="O50" s="295"/>
    </row>
    <row r="51" spans="1:15" x14ac:dyDescent="0.15">
      <c r="A51" s="295"/>
      <c r="B51" s="295"/>
      <c r="C51" s="295"/>
      <c r="D51" s="295"/>
      <c r="E51" s="295"/>
      <c r="F51" s="295"/>
      <c r="G51" s="295"/>
      <c r="H51" s="295"/>
      <c r="I51" s="295"/>
      <c r="J51" s="295"/>
      <c r="K51" s="295"/>
      <c r="L51" s="295"/>
      <c r="M51" s="295"/>
      <c r="N51" s="295"/>
      <c r="O51" s="295"/>
    </row>
    <row r="52" spans="1:15" x14ac:dyDescent="0.15">
      <c r="A52" s="295"/>
      <c r="B52" s="295"/>
      <c r="C52" s="295"/>
      <c r="D52" s="295"/>
      <c r="E52" s="295"/>
      <c r="F52" s="295"/>
      <c r="G52" s="295"/>
      <c r="H52" s="295"/>
      <c r="I52" s="295"/>
      <c r="J52" s="295"/>
      <c r="K52" s="295"/>
      <c r="L52" s="295"/>
      <c r="M52" s="295"/>
      <c r="N52" s="295"/>
      <c r="O52" s="295"/>
    </row>
    <row r="53" spans="1:15" x14ac:dyDescent="0.15">
      <c r="A53" s="295"/>
      <c r="B53" s="295"/>
      <c r="C53" s="295"/>
      <c r="D53" s="295"/>
      <c r="E53" s="295"/>
      <c r="F53" s="295"/>
      <c r="G53" s="295"/>
      <c r="H53" s="295"/>
      <c r="I53" s="295"/>
      <c r="J53" s="295"/>
      <c r="K53" s="295"/>
      <c r="L53" s="295"/>
      <c r="M53" s="295"/>
      <c r="N53" s="295"/>
      <c r="O53" s="295"/>
    </row>
    <row r="54" spans="1:15" x14ac:dyDescent="0.15">
      <c r="A54" s="295"/>
      <c r="B54" s="295"/>
      <c r="C54" s="295"/>
      <c r="D54" s="295"/>
      <c r="E54" s="295"/>
      <c r="F54" s="295"/>
      <c r="G54" s="295"/>
      <c r="H54" s="295"/>
      <c r="I54" s="295"/>
      <c r="J54" s="295"/>
      <c r="K54" s="295"/>
      <c r="L54" s="295"/>
      <c r="M54" s="295"/>
      <c r="N54" s="295"/>
      <c r="O54" s="295"/>
    </row>
    <row r="55" spans="1:15" x14ac:dyDescent="0.15">
      <c r="A55" s="295"/>
      <c r="B55" s="295"/>
      <c r="C55" s="295"/>
      <c r="D55" s="295"/>
      <c r="E55" s="295"/>
      <c r="F55" s="295"/>
      <c r="G55" s="295"/>
      <c r="H55" s="295"/>
      <c r="I55" s="295"/>
      <c r="J55" s="295"/>
      <c r="K55" s="295"/>
      <c r="L55" s="295"/>
      <c r="M55" s="295"/>
      <c r="N55" s="295"/>
      <c r="O55" s="295"/>
    </row>
    <row r="56" spans="1:15" x14ac:dyDescent="0.15">
      <c r="A56" s="295"/>
      <c r="B56" s="295"/>
      <c r="C56" s="295"/>
      <c r="D56" s="295"/>
      <c r="E56" s="295"/>
      <c r="F56" s="295"/>
      <c r="G56" s="295"/>
      <c r="H56" s="295"/>
      <c r="I56" s="295"/>
      <c r="J56" s="295"/>
      <c r="K56" s="295"/>
      <c r="L56" s="295"/>
      <c r="M56" s="295"/>
      <c r="N56" s="295"/>
      <c r="O56" s="295"/>
    </row>
    <row r="57" spans="1:15" x14ac:dyDescent="0.15">
      <c r="A57" s="295"/>
      <c r="B57" s="295"/>
      <c r="C57" s="295"/>
      <c r="D57" s="295"/>
      <c r="E57" s="295"/>
      <c r="F57" s="295"/>
      <c r="G57" s="295"/>
      <c r="H57" s="295"/>
      <c r="I57" s="295"/>
      <c r="J57" s="295"/>
      <c r="K57" s="295"/>
      <c r="L57" s="295"/>
      <c r="M57" s="295"/>
      <c r="N57" s="295"/>
      <c r="O57" s="295"/>
    </row>
    <row r="58" spans="1:15" x14ac:dyDescent="0.15">
      <c r="A58" s="295"/>
      <c r="B58" s="295"/>
      <c r="C58" s="295"/>
      <c r="D58" s="295"/>
      <c r="E58" s="295"/>
      <c r="F58" s="295"/>
      <c r="G58" s="295"/>
      <c r="H58" s="295"/>
      <c r="I58" s="295"/>
      <c r="J58" s="295"/>
      <c r="K58" s="295"/>
      <c r="L58" s="295"/>
      <c r="M58" s="295"/>
      <c r="N58" s="295"/>
      <c r="O58" s="295"/>
    </row>
    <row r="59" spans="1:15" x14ac:dyDescent="0.15">
      <c r="A59" s="295"/>
      <c r="B59" s="295"/>
      <c r="C59" s="295"/>
      <c r="D59" s="295"/>
      <c r="E59" s="295"/>
      <c r="F59" s="295"/>
      <c r="G59" s="295"/>
      <c r="H59" s="295"/>
      <c r="I59" s="295"/>
      <c r="J59" s="295"/>
      <c r="K59" s="295"/>
      <c r="L59" s="295"/>
      <c r="M59" s="295"/>
      <c r="N59" s="295"/>
      <c r="O59" s="295"/>
    </row>
    <row r="60" spans="1:15" x14ac:dyDescent="0.15">
      <c r="A60" s="295"/>
      <c r="B60" s="295"/>
      <c r="C60" s="295"/>
      <c r="D60" s="295"/>
      <c r="E60" s="295"/>
      <c r="F60" s="295"/>
      <c r="G60" s="295"/>
      <c r="H60" s="295"/>
      <c r="I60" s="295"/>
      <c r="J60" s="295"/>
      <c r="K60" s="295"/>
      <c r="L60" s="295"/>
      <c r="M60" s="295"/>
      <c r="N60" s="295"/>
      <c r="O60" s="295"/>
    </row>
    <row r="61" spans="1:15" x14ac:dyDescent="0.15">
      <c r="A61" s="295"/>
      <c r="B61" s="295"/>
      <c r="C61" s="295"/>
      <c r="D61" s="295"/>
      <c r="E61" s="295"/>
      <c r="F61" s="295"/>
      <c r="G61" s="295"/>
      <c r="H61" s="295"/>
      <c r="I61" s="295"/>
      <c r="J61" s="295"/>
      <c r="K61" s="295"/>
      <c r="L61" s="295"/>
      <c r="M61" s="295"/>
      <c r="N61" s="295"/>
      <c r="O61" s="295"/>
    </row>
    <row r="62" spans="1:15" x14ac:dyDescent="0.15">
      <c r="A62" s="295"/>
      <c r="B62" s="295"/>
      <c r="C62" s="295"/>
      <c r="D62" s="295"/>
      <c r="E62" s="295"/>
      <c r="F62" s="295"/>
      <c r="G62" s="295"/>
      <c r="H62" s="295"/>
      <c r="I62" s="295"/>
      <c r="J62" s="295"/>
      <c r="K62" s="295"/>
      <c r="L62" s="295"/>
      <c r="M62" s="295"/>
      <c r="N62" s="295"/>
      <c r="O62" s="295"/>
    </row>
    <row r="63" spans="1:15" x14ac:dyDescent="0.15">
      <c r="A63" s="295"/>
      <c r="B63" s="295"/>
      <c r="C63" s="295"/>
      <c r="D63" s="295"/>
      <c r="E63" s="295"/>
      <c r="F63" s="295"/>
      <c r="G63" s="295"/>
      <c r="H63" s="295"/>
      <c r="I63" s="295"/>
      <c r="J63" s="295"/>
      <c r="K63" s="295"/>
      <c r="L63" s="295"/>
      <c r="M63" s="295"/>
      <c r="N63" s="295"/>
      <c r="O63" s="295"/>
    </row>
    <row r="64" spans="1:15" x14ac:dyDescent="0.15">
      <c r="A64" s="295"/>
      <c r="B64" s="295"/>
      <c r="C64" s="295"/>
      <c r="D64" s="295"/>
      <c r="E64" s="295"/>
      <c r="F64" s="295"/>
      <c r="G64" s="295"/>
      <c r="H64" s="295"/>
      <c r="I64" s="295"/>
      <c r="J64" s="295"/>
      <c r="K64" s="295"/>
      <c r="L64" s="295"/>
      <c r="M64" s="295"/>
      <c r="N64" s="295"/>
      <c r="O64" s="295"/>
    </row>
    <row r="65" spans="1:15" x14ac:dyDescent="0.15">
      <c r="A65" s="295"/>
      <c r="B65" s="295"/>
      <c r="C65" s="295"/>
      <c r="D65" s="295"/>
      <c r="E65" s="295"/>
      <c r="F65" s="295"/>
      <c r="G65" s="295"/>
      <c r="H65" s="295"/>
      <c r="I65" s="295"/>
      <c r="J65" s="295"/>
      <c r="K65" s="295"/>
      <c r="L65" s="295"/>
      <c r="M65" s="295"/>
      <c r="N65" s="295"/>
      <c r="O65" s="295"/>
    </row>
    <row r="66" spans="1:15" x14ac:dyDescent="0.15">
      <c r="A66" s="295"/>
      <c r="B66" s="295"/>
      <c r="C66" s="295"/>
      <c r="D66" s="295"/>
      <c r="E66" s="295"/>
      <c r="F66" s="295"/>
      <c r="G66" s="295"/>
      <c r="H66" s="295"/>
      <c r="I66" s="295"/>
      <c r="J66" s="295"/>
      <c r="K66" s="295"/>
      <c r="L66" s="295"/>
      <c r="M66" s="295"/>
      <c r="N66" s="295"/>
      <c r="O66" s="295"/>
    </row>
    <row r="67" spans="1:15" x14ac:dyDescent="0.15">
      <c r="A67" s="295"/>
      <c r="B67" s="295"/>
      <c r="C67" s="295"/>
      <c r="D67" s="295"/>
      <c r="E67" s="295"/>
      <c r="F67" s="295"/>
      <c r="G67" s="295"/>
      <c r="H67" s="295"/>
      <c r="I67" s="295"/>
      <c r="J67" s="295"/>
      <c r="K67" s="295"/>
      <c r="L67" s="295"/>
      <c r="M67" s="295"/>
      <c r="N67" s="295"/>
      <c r="O67" s="295"/>
    </row>
    <row r="68" spans="1:15" x14ac:dyDescent="0.15">
      <c r="A68" s="295"/>
      <c r="B68" s="295"/>
      <c r="C68" s="295"/>
      <c r="D68" s="295"/>
      <c r="E68" s="295"/>
      <c r="F68" s="295"/>
      <c r="G68" s="295"/>
      <c r="H68" s="295"/>
      <c r="I68" s="295"/>
      <c r="J68" s="295"/>
      <c r="K68" s="295"/>
      <c r="L68" s="295"/>
      <c r="M68" s="295"/>
      <c r="N68" s="295"/>
      <c r="O68" s="295"/>
    </row>
    <row r="69" spans="1:15" x14ac:dyDescent="0.15">
      <c r="A69" s="295"/>
      <c r="B69" s="295"/>
      <c r="C69" s="295"/>
      <c r="D69" s="295"/>
      <c r="E69" s="295"/>
      <c r="F69" s="295"/>
      <c r="G69" s="295"/>
      <c r="H69" s="295"/>
      <c r="I69" s="295"/>
      <c r="J69" s="295"/>
      <c r="K69" s="295"/>
      <c r="L69" s="295"/>
      <c r="M69" s="295"/>
      <c r="N69" s="295"/>
      <c r="O69" s="295"/>
    </row>
    <row r="70" spans="1:15" x14ac:dyDescent="0.15">
      <c r="A70" s="295"/>
      <c r="B70" s="295"/>
      <c r="C70" s="295"/>
      <c r="D70" s="295"/>
      <c r="E70" s="295"/>
      <c r="F70" s="295"/>
      <c r="G70" s="295"/>
      <c r="H70" s="295"/>
      <c r="I70" s="295"/>
      <c r="J70" s="295"/>
      <c r="K70" s="295"/>
      <c r="L70" s="295"/>
      <c r="M70" s="295"/>
      <c r="N70" s="295"/>
      <c r="O70" s="295"/>
    </row>
    <row r="71" spans="1:15" x14ac:dyDescent="0.15">
      <c r="A71" s="295"/>
      <c r="B71" s="295"/>
      <c r="C71" s="295"/>
      <c r="D71" s="295"/>
      <c r="E71" s="295"/>
      <c r="F71" s="295"/>
      <c r="G71" s="295"/>
      <c r="H71" s="295"/>
      <c r="I71" s="295"/>
      <c r="J71" s="295"/>
      <c r="K71" s="295"/>
      <c r="L71" s="295"/>
      <c r="M71" s="295"/>
      <c r="N71" s="295"/>
      <c r="O71" s="295"/>
    </row>
    <row r="72" spans="1:15" x14ac:dyDescent="0.15">
      <c r="A72" s="295"/>
      <c r="B72" s="295"/>
      <c r="C72" s="295"/>
      <c r="D72" s="295"/>
      <c r="E72" s="295"/>
      <c r="F72" s="295"/>
      <c r="G72" s="295"/>
      <c r="H72" s="295"/>
      <c r="I72" s="295"/>
      <c r="J72" s="295"/>
      <c r="K72" s="295"/>
      <c r="L72" s="295"/>
      <c r="M72" s="295"/>
      <c r="N72" s="295"/>
      <c r="O72" s="295"/>
    </row>
    <row r="73" spans="1:15" x14ac:dyDescent="0.15">
      <c r="A73" s="295"/>
      <c r="B73" s="295"/>
      <c r="C73" s="295"/>
      <c r="D73" s="295"/>
      <c r="E73" s="295"/>
      <c r="F73" s="295"/>
      <c r="G73" s="295"/>
      <c r="H73" s="295"/>
      <c r="I73" s="295"/>
      <c r="J73" s="295"/>
      <c r="K73" s="295"/>
      <c r="L73" s="295"/>
      <c r="M73" s="295"/>
      <c r="N73" s="295"/>
      <c r="O73" s="295"/>
    </row>
    <row r="74" spans="1:15" x14ac:dyDescent="0.15">
      <c r="A74" s="295"/>
      <c r="B74" s="295"/>
      <c r="C74" s="295"/>
      <c r="D74" s="295"/>
      <c r="E74" s="295"/>
      <c r="F74" s="295"/>
      <c r="G74" s="295"/>
      <c r="H74" s="295"/>
      <c r="I74" s="295"/>
      <c r="J74" s="295"/>
      <c r="K74" s="295"/>
      <c r="L74" s="295"/>
      <c r="M74" s="295"/>
      <c r="N74" s="295"/>
      <c r="O74" s="295"/>
    </row>
    <row r="75" spans="1:15" x14ac:dyDescent="0.15">
      <c r="A75" s="295"/>
      <c r="B75" s="295"/>
      <c r="C75" s="295"/>
      <c r="D75" s="295"/>
      <c r="E75" s="295"/>
      <c r="F75" s="295"/>
      <c r="G75" s="295"/>
      <c r="H75" s="295"/>
      <c r="I75" s="295"/>
      <c r="J75" s="295"/>
      <c r="K75" s="295"/>
      <c r="L75" s="295"/>
      <c r="M75" s="295"/>
      <c r="N75" s="295"/>
      <c r="O75" s="295"/>
    </row>
    <row r="76" spans="1:15" x14ac:dyDescent="0.15">
      <c r="A76" s="295"/>
      <c r="B76" s="295"/>
      <c r="C76" s="295"/>
      <c r="D76" s="295"/>
      <c r="E76" s="295"/>
      <c r="F76" s="295"/>
      <c r="G76" s="295"/>
      <c r="H76" s="295"/>
      <c r="I76" s="295"/>
      <c r="J76" s="295"/>
      <c r="K76" s="295"/>
      <c r="L76" s="295"/>
      <c r="M76" s="295"/>
      <c r="N76" s="295"/>
      <c r="O76" s="295"/>
    </row>
    <row r="77" spans="1:15" x14ac:dyDescent="0.15">
      <c r="A77" s="295"/>
      <c r="B77" s="295"/>
      <c r="C77" s="295"/>
      <c r="D77" s="295"/>
      <c r="E77" s="295"/>
      <c r="F77" s="295"/>
      <c r="G77" s="295"/>
      <c r="H77" s="295"/>
      <c r="I77" s="295"/>
      <c r="J77" s="295"/>
      <c r="K77" s="295"/>
      <c r="L77" s="295"/>
      <c r="M77" s="295"/>
      <c r="N77" s="295"/>
      <c r="O77" s="295"/>
    </row>
    <row r="78" spans="1:15" x14ac:dyDescent="0.15">
      <c r="A78" s="295"/>
      <c r="B78" s="295"/>
      <c r="C78" s="295"/>
      <c r="D78" s="295"/>
      <c r="E78" s="295"/>
      <c r="F78" s="295"/>
      <c r="G78" s="295"/>
      <c r="H78" s="295"/>
      <c r="I78" s="295"/>
      <c r="J78" s="295"/>
      <c r="K78" s="295"/>
      <c r="L78" s="295"/>
      <c r="M78" s="295"/>
      <c r="N78" s="295"/>
      <c r="O78" s="295"/>
    </row>
    <row r="79" spans="1:15" x14ac:dyDescent="0.15">
      <c r="A79" s="295"/>
      <c r="B79" s="295"/>
      <c r="C79" s="295"/>
      <c r="D79" s="295"/>
      <c r="E79" s="295"/>
      <c r="F79" s="295"/>
      <c r="G79" s="295"/>
      <c r="H79" s="295"/>
      <c r="I79" s="295"/>
      <c r="J79" s="295"/>
      <c r="K79" s="295"/>
      <c r="L79" s="295"/>
      <c r="M79" s="295"/>
      <c r="N79" s="295"/>
      <c r="O79" s="295"/>
    </row>
    <row r="80" spans="1:15" x14ac:dyDescent="0.15">
      <c r="A80" s="295"/>
      <c r="B80" s="295"/>
      <c r="C80" s="295"/>
      <c r="D80" s="295"/>
      <c r="E80" s="295"/>
      <c r="F80" s="295"/>
      <c r="G80" s="295"/>
      <c r="H80" s="295"/>
      <c r="I80" s="295"/>
      <c r="J80" s="295"/>
      <c r="K80" s="295"/>
      <c r="L80" s="295"/>
      <c r="M80" s="295"/>
      <c r="N80" s="295"/>
      <c r="O80" s="295"/>
    </row>
    <row r="81" spans="1:19" x14ac:dyDescent="0.15">
      <c r="A81" s="295"/>
      <c r="B81" s="295"/>
      <c r="C81" s="295"/>
      <c r="D81" s="295"/>
      <c r="E81" s="295"/>
      <c r="F81" s="295"/>
      <c r="G81" s="295"/>
      <c r="H81" s="295"/>
      <c r="I81" s="295"/>
      <c r="J81" s="295"/>
      <c r="K81" s="295"/>
      <c r="L81" s="295"/>
      <c r="M81" s="295"/>
      <c r="N81" s="295"/>
      <c r="O81" s="295"/>
    </row>
    <row r="82" spans="1:19" x14ac:dyDescent="0.15">
      <c r="A82" s="295"/>
      <c r="B82" s="295"/>
      <c r="C82" s="295"/>
      <c r="D82" s="295"/>
      <c r="E82" s="295"/>
      <c r="F82" s="295"/>
      <c r="G82" s="295"/>
      <c r="H82" s="295"/>
      <c r="I82" s="295"/>
      <c r="J82" s="295"/>
      <c r="K82" s="295"/>
      <c r="L82" s="295"/>
      <c r="M82" s="295"/>
      <c r="N82" s="295"/>
      <c r="O82" s="295"/>
    </row>
    <row r="83" spans="1:19" x14ac:dyDescent="0.15">
      <c r="A83" s="295"/>
      <c r="B83" s="295"/>
      <c r="C83" s="295"/>
      <c r="D83" s="295"/>
      <c r="E83" s="295"/>
      <c r="F83" s="295"/>
      <c r="G83" s="295"/>
      <c r="H83" s="295"/>
      <c r="I83" s="295"/>
      <c r="J83" s="295"/>
      <c r="K83" s="295"/>
      <c r="L83" s="295"/>
      <c r="M83" s="295"/>
      <c r="N83" s="295"/>
      <c r="O83" s="295"/>
    </row>
    <row r="84" spans="1:19" x14ac:dyDescent="0.15">
      <c r="A84" s="295"/>
      <c r="B84" s="295"/>
      <c r="C84" s="295"/>
      <c r="D84" s="295"/>
      <c r="E84" s="295"/>
      <c r="F84" s="295"/>
      <c r="G84" s="295"/>
      <c r="H84" s="295"/>
      <c r="I84" s="295"/>
      <c r="J84" s="295"/>
      <c r="K84" s="295"/>
      <c r="L84" s="295"/>
      <c r="M84" s="295"/>
      <c r="N84" s="295"/>
      <c r="O84" s="295"/>
    </row>
    <row r="85" spans="1:19" x14ac:dyDescent="0.15">
      <c r="A85" s="295"/>
      <c r="B85" s="295"/>
      <c r="C85" s="295"/>
      <c r="D85" s="295"/>
      <c r="E85" s="295"/>
      <c r="F85" s="295"/>
      <c r="G85" s="295"/>
      <c r="H85" s="295"/>
      <c r="I85" s="295"/>
      <c r="J85" s="295"/>
      <c r="K85" s="295"/>
      <c r="L85" s="295"/>
      <c r="M85" s="295"/>
      <c r="N85" s="295"/>
      <c r="O85" s="295"/>
    </row>
    <row r="86" spans="1:19" x14ac:dyDescent="0.15">
      <c r="A86" s="295"/>
      <c r="B86" s="295"/>
      <c r="C86" s="295"/>
      <c r="D86" s="295"/>
      <c r="E86" s="295"/>
      <c r="F86" s="295"/>
      <c r="G86" s="295"/>
      <c r="H86" s="295"/>
      <c r="I86" s="295"/>
      <c r="J86" s="295"/>
      <c r="K86" s="295"/>
      <c r="L86" s="295"/>
      <c r="M86" s="295"/>
      <c r="N86" s="295"/>
      <c r="O86" s="295"/>
    </row>
    <row r="87" spans="1:19" x14ac:dyDescent="0.15">
      <c r="A87" s="295"/>
      <c r="B87" s="295"/>
      <c r="C87" s="295"/>
      <c r="D87" s="295"/>
      <c r="E87" s="295"/>
      <c r="F87" s="295"/>
      <c r="G87" s="295"/>
      <c r="H87" s="295"/>
      <c r="I87" s="295"/>
      <c r="J87" s="295"/>
      <c r="K87" s="295"/>
      <c r="L87" s="295"/>
      <c r="M87" s="295"/>
      <c r="N87" s="295"/>
      <c r="O87" s="295"/>
    </row>
    <row r="88" spans="1:19" x14ac:dyDescent="0.15">
      <c r="A88" s="295"/>
      <c r="B88" s="295"/>
      <c r="C88" s="295"/>
      <c r="D88" s="295"/>
      <c r="E88" s="295"/>
      <c r="F88" s="295"/>
      <c r="G88" s="295"/>
      <c r="H88" s="295"/>
      <c r="I88" s="295"/>
      <c r="J88" s="295"/>
      <c r="K88" s="295"/>
      <c r="L88" s="295"/>
      <c r="M88" s="295"/>
      <c r="N88" s="295"/>
      <c r="O88" s="295"/>
    </row>
    <row r="89" spans="1:19" x14ac:dyDescent="0.15">
      <c r="A89" s="295"/>
      <c r="B89" s="295"/>
      <c r="C89" s="295"/>
      <c r="D89" s="295"/>
      <c r="E89" s="295"/>
      <c r="F89" s="295"/>
      <c r="G89" s="295"/>
      <c r="H89" s="295"/>
      <c r="I89" s="295"/>
      <c r="J89" s="295"/>
      <c r="K89" s="295"/>
      <c r="L89" s="295"/>
      <c r="M89" s="295"/>
      <c r="N89" s="295"/>
      <c r="O89" s="295"/>
    </row>
    <row r="90" spans="1:19" x14ac:dyDescent="0.15">
      <c r="A90" s="295"/>
      <c r="B90" s="295"/>
      <c r="C90" s="295"/>
      <c r="D90" s="295"/>
      <c r="E90" s="295"/>
      <c r="F90" s="295"/>
      <c r="G90" s="295"/>
      <c r="H90" s="295"/>
      <c r="I90" s="295"/>
      <c r="J90" s="295"/>
      <c r="K90" s="295"/>
      <c r="L90" s="295"/>
      <c r="M90" s="295"/>
      <c r="N90" s="295"/>
      <c r="O90" s="295"/>
      <c r="R90" s="411"/>
    </row>
    <row r="91" spans="1:19" x14ac:dyDescent="0.15">
      <c r="A91" s="295"/>
      <c r="B91" s="295"/>
      <c r="C91" s="295"/>
      <c r="D91" s="295"/>
      <c r="E91" s="295"/>
      <c r="F91" s="295"/>
      <c r="G91" s="295"/>
      <c r="H91" s="295"/>
      <c r="I91" s="295"/>
      <c r="J91" s="295"/>
      <c r="K91" s="295"/>
      <c r="L91" s="295"/>
      <c r="M91" s="295"/>
      <c r="N91" s="295"/>
      <c r="O91" s="295"/>
      <c r="P91" s="295"/>
      <c r="Q91" s="295"/>
      <c r="R91" s="295"/>
      <c r="S91" s="295"/>
    </row>
    <row r="92" spans="1:19" x14ac:dyDescent="0.15">
      <c r="A92" s="295"/>
      <c r="B92" s="295"/>
      <c r="C92" s="295"/>
      <c r="D92" s="295"/>
      <c r="E92" s="295"/>
      <c r="F92" s="295"/>
      <c r="G92" s="295"/>
      <c r="H92" s="295"/>
      <c r="I92" s="295"/>
      <c r="J92" s="295"/>
      <c r="K92" s="295"/>
      <c r="L92" s="295"/>
      <c r="M92" s="295"/>
      <c r="N92" s="295"/>
      <c r="O92" s="295"/>
      <c r="P92" s="295"/>
      <c r="Q92" s="295"/>
      <c r="R92" s="295"/>
      <c r="S92" s="295"/>
    </row>
    <row r="93" spans="1:19" x14ac:dyDescent="0.15">
      <c r="A93" s="295"/>
      <c r="B93" s="295"/>
      <c r="C93" s="295"/>
      <c r="D93" s="295"/>
      <c r="E93" s="295"/>
      <c r="F93" s="295"/>
      <c r="G93" s="295"/>
      <c r="H93" s="295"/>
      <c r="I93" s="295"/>
      <c r="J93" s="295"/>
      <c r="K93" s="295"/>
      <c r="L93" s="295"/>
      <c r="M93" s="295"/>
      <c r="N93" s="295"/>
      <c r="O93" s="295"/>
      <c r="P93" s="295"/>
      <c r="Q93" s="295"/>
      <c r="R93" s="295"/>
      <c r="S93" s="295"/>
    </row>
    <row r="94" spans="1:19" x14ac:dyDescent="0.15">
      <c r="A94" s="295"/>
      <c r="B94" s="295"/>
      <c r="C94" s="295"/>
      <c r="D94" s="295"/>
      <c r="E94" s="295"/>
      <c r="F94" s="295"/>
      <c r="G94" s="295"/>
      <c r="H94" s="295"/>
      <c r="I94" s="295"/>
      <c r="J94" s="295"/>
      <c r="K94" s="295"/>
      <c r="L94" s="295"/>
      <c r="M94" s="295"/>
      <c r="N94" s="295"/>
      <c r="O94" s="295"/>
      <c r="P94" s="295"/>
      <c r="Q94" s="295"/>
      <c r="R94" s="295"/>
      <c r="S94" s="295"/>
    </row>
    <row r="95" spans="1:19" x14ac:dyDescent="0.15">
      <c r="L95" s="295"/>
      <c r="M95" s="295"/>
      <c r="N95" s="295"/>
      <c r="O95" s="295"/>
      <c r="P95" s="295"/>
      <c r="Q95" s="295"/>
      <c r="R95" s="295"/>
      <c r="S95" s="295"/>
    </row>
    <row r="96" spans="1:19" x14ac:dyDescent="0.15">
      <c r="L96" s="295"/>
      <c r="M96" s="295"/>
      <c r="N96" s="295"/>
      <c r="O96" s="295"/>
      <c r="P96" s="295"/>
      <c r="Q96" s="295"/>
      <c r="R96" s="295"/>
      <c r="S96" s="295"/>
    </row>
    <row r="97" spans="4:19" x14ac:dyDescent="0.15">
      <c r="L97" s="295"/>
      <c r="M97" s="295"/>
      <c r="N97" s="295"/>
      <c r="O97" s="295"/>
      <c r="P97" s="295"/>
      <c r="Q97" s="295"/>
      <c r="R97" s="295"/>
      <c r="S97" s="295"/>
    </row>
    <row r="98" spans="4:19" x14ac:dyDescent="0.15">
      <c r="L98" s="295"/>
      <c r="M98" s="295"/>
      <c r="N98" s="295"/>
      <c r="O98" s="295"/>
      <c r="P98" s="295"/>
      <c r="Q98" s="295"/>
      <c r="R98" s="295"/>
      <c r="S98" s="295"/>
    </row>
    <row r="99" spans="4:19" x14ac:dyDescent="0.15">
      <c r="L99" s="295"/>
      <c r="M99" s="295"/>
      <c r="N99" s="295"/>
      <c r="O99" s="295"/>
      <c r="P99" s="295"/>
      <c r="Q99" s="295"/>
      <c r="R99" s="295"/>
      <c r="S99" s="295"/>
    </row>
    <row r="100" spans="4:19" x14ac:dyDescent="0.15">
      <c r="L100" s="295"/>
      <c r="M100" s="295"/>
      <c r="N100" s="295"/>
      <c r="O100" s="295"/>
      <c r="P100" s="295"/>
      <c r="Q100" s="295"/>
      <c r="R100" s="295"/>
      <c r="S100" s="295"/>
    </row>
    <row r="101" spans="4:19" x14ac:dyDescent="0.15">
      <c r="L101" s="295"/>
      <c r="M101" s="295"/>
      <c r="N101" s="295"/>
      <c r="O101" s="295"/>
      <c r="P101" s="295"/>
      <c r="Q101" s="295"/>
      <c r="R101" s="295"/>
      <c r="S101" s="295"/>
    </row>
    <row r="102" spans="4:19" x14ac:dyDescent="0.15">
      <c r="L102" s="295"/>
      <c r="M102" s="295"/>
      <c r="N102" s="295"/>
      <c r="O102" s="295"/>
      <c r="P102" s="295"/>
      <c r="Q102" s="295"/>
      <c r="R102" s="295"/>
      <c r="S102" s="295"/>
    </row>
    <row r="103" spans="4:19" x14ac:dyDescent="0.15">
      <c r="L103" s="295"/>
      <c r="M103" s="295"/>
      <c r="N103" s="295"/>
      <c r="O103" s="295"/>
      <c r="P103" s="295"/>
      <c r="Q103" s="295"/>
      <c r="R103" s="295"/>
      <c r="S103" s="295"/>
    </row>
    <row r="104" spans="4:19" x14ac:dyDescent="0.15">
      <c r="L104" s="295"/>
      <c r="M104" s="295"/>
      <c r="N104" s="295"/>
      <c r="O104" s="295"/>
      <c r="P104" s="295"/>
      <c r="Q104" s="295"/>
      <c r="R104" s="295"/>
      <c r="S104" s="295"/>
    </row>
    <row r="105" spans="4:19" x14ac:dyDescent="0.15">
      <c r="L105" s="295"/>
      <c r="M105" s="295"/>
      <c r="N105" s="295"/>
      <c r="O105" s="295"/>
      <c r="P105" s="295"/>
      <c r="Q105" s="295"/>
      <c r="R105" s="295"/>
      <c r="S105" s="295"/>
    </row>
    <row r="106" spans="4:19" x14ac:dyDescent="0.15">
      <c r="L106" s="295"/>
      <c r="M106" s="295"/>
      <c r="N106" s="295"/>
      <c r="O106" s="295"/>
      <c r="P106" s="295"/>
      <c r="Q106" s="295"/>
      <c r="R106" s="295"/>
      <c r="S106" s="295"/>
    </row>
    <row r="109" spans="4:19" x14ac:dyDescent="0.15">
      <c r="D109" s="385"/>
    </row>
    <row r="110" spans="4:19" x14ac:dyDescent="0.15">
      <c r="D110" s="385"/>
    </row>
    <row r="111" spans="4:19" x14ac:dyDescent="0.15">
      <c r="D111" s="385"/>
    </row>
    <row r="112" spans="4:19" x14ac:dyDescent="0.15">
      <c r="D112" s="385"/>
    </row>
    <row r="113" spans="4:4" x14ac:dyDescent="0.15">
      <c r="D113" s="385"/>
    </row>
    <row r="114" spans="4:4" x14ac:dyDescent="0.15">
      <c r="D114" s="385"/>
    </row>
    <row r="115" spans="4:4" x14ac:dyDescent="0.15">
      <c r="D115" s="385"/>
    </row>
    <row r="116" spans="4:4" x14ac:dyDescent="0.15">
      <c r="D116" s="385"/>
    </row>
    <row r="117" spans="4:4" x14ac:dyDescent="0.15">
      <c r="D117" s="385"/>
    </row>
    <row r="118" spans="4:4" x14ac:dyDescent="0.15">
      <c r="D118" s="385"/>
    </row>
    <row r="119" spans="4:4" x14ac:dyDescent="0.15">
      <c r="D119" s="385"/>
    </row>
    <row r="120" spans="4:4" x14ac:dyDescent="0.15">
      <c r="D120" s="385"/>
    </row>
    <row r="121" spans="4:4" x14ac:dyDescent="0.15">
      <c r="D121" s="385"/>
    </row>
    <row r="122" spans="4:4" x14ac:dyDescent="0.15">
      <c r="D122" s="385"/>
    </row>
  </sheetData>
  <sheetProtection algorithmName="SHA-512" hashValue="JOQL1FjrWhHu+7GL0tjtaU5qa/dZcqncnilftTPSs0St/W0y4IxQ3ZNm8kdx8mHa+tCOV5qeQy0rYdhV+4hDiw==" saltValue="/G2gDqiQ3JcheoKhj52tGA==" spinCount="100000" sheet="1" objects="1" scenarios="1"/>
  <mergeCells count="4">
    <mergeCell ref="D4:D6"/>
    <mergeCell ref="E4:E6"/>
    <mergeCell ref="F4:F6"/>
    <mergeCell ref="G4:G6"/>
  </mergeCells>
  <pageMargins left="0.75" right="0.75" top="1" bottom="1" header="0.5" footer="0.5"/>
  <pageSetup orientation="portrait" horizontalDpi="4294967292" verticalDpi="4294967292"/>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6B4D0-2A15-5848-AB60-35EB2C190346}">
  <sheetPr>
    <tabColor theme="1"/>
  </sheetPr>
  <dimension ref="A1:CF131"/>
  <sheetViews>
    <sheetView zoomScale="150" workbookViewId="0">
      <pane xSplit="3" ySplit="3" topLeftCell="D4" activePane="bottomRight" state="frozen"/>
      <selection pane="topRight" activeCell="D1" sqref="D1"/>
      <selection pane="bottomLeft" activeCell="A4" sqref="A4"/>
      <selection pane="bottomRight" activeCell="C2" sqref="C2"/>
    </sheetView>
  </sheetViews>
  <sheetFormatPr baseColWidth="10" defaultRowHeight="13" x14ac:dyDescent="0.15"/>
  <cols>
    <col min="1" max="1" width="3.6640625" style="149" customWidth="1"/>
    <col min="2" max="2" width="7.33203125" style="149" bestFit="1" customWidth="1"/>
    <col min="3" max="3" width="3.5" style="149" bestFit="1" customWidth="1"/>
    <col min="4" max="4" width="8.5" style="149" bestFit="1" customWidth="1"/>
    <col min="5" max="5" width="29.33203125" style="149" customWidth="1"/>
    <col min="6" max="6" width="2.5" style="149" bestFit="1" customWidth="1"/>
    <col min="7" max="7" width="32.83203125" style="149" bestFit="1" customWidth="1"/>
    <col min="8" max="8" width="2.33203125" style="149" bestFit="1" customWidth="1"/>
    <col min="9" max="9" width="2" style="149" bestFit="1" customWidth="1"/>
    <col min="10" max="10" width="9.83203125" style="149" customWidth="1"/>
    <col min="11" max="11" width="2.33203125" style="149" bestFit="1" customWidth="1"/>
    <col min="12" max="12" width="9.83203125" style="149" bestFit="1" customWidth="1"/>
    <col min="13" max="13" width="2" style="149" bestFit="1" customWidth="1"/>
    <col min="14" max="14" width="8.5" style="149" bestFit="1" customWidth="1"/>
    <col min="15" max="15" width="3.5" style="149" bestFit="1" customWidth="1"/>
    <col min="16" max="16" width="8.5" style="149" customWidth="1"/>
    <col min="17" max="17" width="24.5" style="149" bestFit="1" customWidth="1"/>
    <col min="18" max="18" width="2.5" style="149" bestFit="1" customWidth="1"/>
    <col min="19" max="19" width="26.33203125" style="149" bestFit="1" customWidth="1"/>
    <col min="20" max="20" width="2.33203125" style="149" bestFit="1" customWidth="1"/>
    <col min="21" max="21" width="2" style="149" bestFit="1" customWidth="1"/>
    <col min="22" max="22" width="10.83203125" style="149"/>
    <col min="23" max="23" width="2.33203125" style="149" bestFit="1" customWidth="1"/>
    <col min="24" max="24" width="11.83203125" style="149" bestFit="1" customWidth="1"/>
    <col min="25" max="25" width="2" style="149" bestFit="1" customWidth="1"/>
    <col min="26" max="26" width="8.5" style="149" bestFit="1" customWidth="1"/>
    <col min="27" max="27" width="3.5" style="149" bestFit="1" customWidth="1"/>
    <col min="28" max="28" width="8.5" style="149" bestFit="1" customWidth="1"/>
    <col min="29" max="29" width="24.5" style="149" bestFit="1" customWidth="1"/>
    <col min="30" max="30" width="2.5" style="149" bestFit="1" customWidth="1"/>
    <col min="31" max="31" width="26.33203125" style="149" bestFit="1" customWidth="1"/>
    <col min="32" max="32" width="2.33203125" style="149" bestFit="1" customWidth="1"/>
    <col min="33" max="33" width="2" style="149" bestFit="1" customWidth="1"/>
    <col min="34" max="34" width="10.83203125" style="149"/>
    <col min="35" max="35" width="2.33203125" style="149" bestFit="1" customWidth="1"/>
    <col min="36" max="36" width="10.83203125" style="149"/>
    <col min="37" max="37" width="2" style="149" bestFit="1" customWidth="1"/>
    <col min="38" max="38" width="8.5" style="149" bestFit="1" customWidth="1"/>
    <col min="39" max="39" width="3.5" style="149" bestFit="1" customWidth="1"/>
    <col min="40" max="40" width="8.5" style="149" bestFit="1" customWidth="1"/>
    <col min="41" max="41" width="24.5" style="149" bestFit="1" customWidth="1"/>
    <col min="42" max="42" width="2.5" style="149" bestFit="1" customWidth="1"/>
    <col min="43" max="43" width="26.33203125" style="149" bestFit="1" customWidth="1"/>
    <col min="44" max="44" width="2.33203125" style="149" bestFit="1" customWidth="1"/>
    <col min="45" max="45" width="2" style="149" bestFit="1" customWidth="1"/>
    <col min="46" max="46" width="10.83203125" style="149"/>
    <col min="47" max="47" width="2.33203125" style="149" bestFit="1" customWidth="1"/>
    <col min="48" max="48" width="10.83203125" style="149"/>
    <col min="49" max="49" width="2" style="149" bestFit="1" customWidth="1"/>
    <col min="50" max="50" width="8.5" style="149" bestFit="1" customWidth="1"/>
    <col min="51" max="51" width="2.6640625" style="149" customWidth="1"/>
    <col min="52" max="52" width="8.5" style="149" bestFit="1" customWidth="1"/>
    <col min="53" max="53" width="22.83203125" style="149" bestFit="1" customWidth="1"/>
    <col min="54" max="54" width="2.5" style="149" bestFit="1" customWidth="1"/>
    <col min="55" max="55" width="26.83203125" style="149" bestFit="1" customWidth="1"/>
    <col min="56" max="56" width="2.33203125" style="149" bestFit="1" customWidth="1"/>
    <col min="57" max="57" width="2" style="149" bestFit="1" customWidth="1"/>
    <col min="58" max="58" width="10.83203125" style="149"/>
    <col min="59" max="59" width="2.33203125" style="149" bestFit="1" customWidth="1"/>
    <col min="60" max="60" width="10.83203125" style="149"/>
    <col min="61" max="61" width="2" style="149" bestFit="1" customWidth="1"/>
    <col min="62" max="62" width="8.5" style="149" bestFit="1" customWidth="1"/>
    <col min="63" max="63" width="2" style="149" customWidth="1"/>
    <col min="64" max="64" width="8.5" style="149" bestFit="1" customWidth="1"/>
    <col min="65" max="65" width="21" style="149" bestFit="1" customWidth="1"/>
    <col min="66" max="66" width="2.5" style="149" bestFit="1" customWidth="1"/>
    <col min="67" max="67" width="26.83203125" style="149" bestFit="1" customWidth="1"/>
    <col min="68" max="68" width="2.33203125" style="149" bestFit="1" customWidth="1"/>
    <col min="69" max="69" width="2" style="149" bestFit="1" customWidth="1"/>
    <col min="70" max="70" width="10.83203125" style="149"/>
    <col min="71" max="71" width="2.33203125" style="149" bestFit="1" customWidth="1"/>
    <col min="72" max="72" width="10.83203125" style="149"/>
    <col min="73" max="73" width="2" style="149" bestFit="1" customWidth="1"/>
    <col min="74" max="74" width="8.5" style="149" bestFit="1" customWidth="1"/>
    <col min="75" max="16384" width="10.83203125" style="149"/>
  </cols>
  <sheetData>
    <row r="1" spans="2:74" ht="5" customHeight="1" thickBot="1" x14ac:dyDescent="0.2"/>
    <row r="2" spans="2:74" ht="14" customHeight="1" thickTop="1" x14ac:dyDescent="0.15">
      <c r="D2" s="693" t="s">
        <v>136</v>
      </c>
      <c r="E2" s="694"/>
      <c r="F2" s="694"/>
      <c r="G2" s="694"/>
      <c r="H2" s="694"/>
      <c r="I2" s="694"/>
      <c r="J2" s="694"/>
      <c r="K2" s="694"/>
      <c r="L2" s="694"/>
      <c r="M2" s="694"/>
      <c r="N2" s="695"/>
      <c r="P2" s="693" t="s">
        <v>137</v>
      </c>
      <c r="Q2" s="694"/>
      <c r="R2" s="694"/>
      <c r="S2" s="694"/>
      <c r="T2" s="694"/>
      <c r="U2" s="694"/>
      <c r="V2" s="694"/>
      <c r="W2" s="694"/>
      <c r="X2" s="694"/>
      <c r="Y2" s="694"/>
      <c r="Z2" s="695"/>
      <c r="AB2" s="693" t="s">
        <v>138</v>
      </c>
      <c r="AC2" s="694"/>
      <c r="AD2" s="694"/>
      <c r="AE2" s="694"/>
      <c r="AF2" s="694"/>
      <c r="AG2" s="694"/>
      <c r="AH2" s="694"/>
      <c r="AI2" s="694"/>
      <c r="AJ2" s="694"/>
      <c r="AK2" s="694"/>
      <c r="AL2" s="695"/>
      <c r="AN2" s="693" t="s">
        <v>139</v>
      </c>
      <c r="AO2" s="694"/>
      <c r="AP2" s="694"/>
      <c r="AQ2" s="694"/>
      <c r="AR2" s="694"/>
      <c r="AS2" s="694"/>
      <c r="AT2" s="694"/>
      <c r="AU2" s="694"/>
      <c r="AV2" s="694"/>
      <c r="AW2" s="694"/>
      <c r="AX2" s="695"/>
      <c r="AZ2" s="693" t="s">
        <v>140</v>
      </c>
      <c r="BA2" s="694"/>
      <c r="BB2" s="694"/>
      <c r="BC2" s="694"/>
      <c r="BD2" s="694"/>
      <c r="BE2" s="694"/>
      <c r="BF2" s="694"/>
      <c r="BG2" s="694"/>
      <c r="BH2" s="694"/>
      <c r="BI2" s="694"/>
      <c r="BJ2" s="695"/>
      <c r="BL2" s="693" t="s">
        <v>141</v>
      </c>
      <c r="BM2" s="694"/>
      <c r="BN2" s="694"/>
      <c r="BO2" s="694"/>
      <c r="BP2" s="694"/>
      <c r="BQ2" s="694"/>
      <c r="BR2" s="694"/>
      <c r="BS2" s="694"/>
      <c r="BT2" s="694"/>
      <c r="BU2" s="694"/>
      <c r="BV2" s="695"/>
    </row>
    <row r="3" spans="2:74" ht="14" customHeight="1" thickBot="1" x14ac:dyDescent="0.2">
      <c r="C3" s="150"/>
      <c r="D3" s="696"/>
      <c r="E3" s="697"/>
      <c r="F3" s="697"/>
      <c r="G3" s="697"/>
      <c r="H3" s="697"/>
      <c r="I3" s="697"/>
      <c r="J3" s="697"/>
      <c r="K3" s="697"/>
      <c r="L3" s="697"/>
      <c r="M3" s="697"/>
      <c r="N3" s="698"/>
      <c r="P3" s="696"/>
      <c r="Q3" s="697"/>
      <c r="R3" s="697"/>
      <c r="S3" s="697"/>
      <c r="T3" s="697"/>
      <c r="U3" s="697"/>
      <c r="V3" s="697"/>
      <c r="W3" s="697"/>
      <c r="X3" s="697"/>
      <c r="Y3" s="697"/>
      <c r="Z3" s="698"/>
      <c r="AB3" s="696"/>
      <c r="AC3" s="697"/>
      <c r="AD3" s="697"/>
      <c r="AE3" s="697"/>
      <c r="AF3" s="697"/>
      <c r="AG3" s="697"/>
      <c r="AH3" s="697"/>
      <c r="AI3" s="697"/>
      <c r="AJ3" s="697"/>
      <c r="AK3" s="697"/>
      <c r="AL3" s="698"/>
      <c r="AN3" s="696"/>
      <c r="AO3" s="697"/>
      <c r="AP3" s="697"/>
      <c r="AQ3" s="697"/>
      <c r="AR3" s="697"/>
      <c r="AS3" s="697"/>
      <c r="AT3" s="697"/>
      <c r="AU3" s="697"/>
      <c r="AV3" s="697"/>
      <c r="AW3" s="697"/>
      <c r="AX3" s="698"/>
      <c r="AZ3" s="696"/>
      <c r="BA3" s="697"/>
      <c r="BB3" s="697"/>
      <c r="BC3" s="697"/>
      <c r="BD3" s="697"/>
      <c r="BE3" s="697"/>
      <c r="BF3" s="697"/>
      <c r="BG3" s="697"/>
      <c r="BH3" s="697"/>
      <c r="BI3" s="697"/>
      <c r="BJ3" s="698"/>
      <c r="BL3" s="696"/>
      <c r="BM3" s="697"/>
      <c r="BN3" s="697"/>
      <c r="BO3" s="697"/>
      <c r="BP3" s="697"/>
      <c r="BQ3" s="697"/>
      <c r="BR3" s="697"/>
      <c r="BS3" s="697"/>
      <c r="BT3" s="697"/>
      <c r="BU3" s="697"/>
      <c r="BV3" s="698"/>
    </row>
    <row r="4" spans="2:74" ht="10" customHeight="1" thickTop="1" thickBot="1" x14ac:dyDescent="0.2">
      <c r="C4" s="150"/>
    </row>
    <row r="5" spans="2:74" ht="17" thickTop="1" x14ac:dyDescent="0.2">
      <c r="B5" s="686" t="s">
        <v>1</v>
      </c>
      <c r="C5" s="676">
        <v>1</v>
      </c>
      <c r="D5" s="677" t="s">
        <v>49</v>
      </c>
      <c r="E5" s="151"/>
      <c r="F5" s="151"/>
      <c r="G5" s="210" t="str">
        <f>'Achalandage journalier'!D5</f>
        <v>Pér.01</v>
      </c>
      <c r="H5" s="151"/>
      <c r="I5" s="151"/>
      <c r="J5" s="151"/>
      <c r="K5" s="151"/>
      <c r="L5" s="151"/>
      <c r="M5" s="151"/>
      <c r="N5" s="680" t="s">
        <v>50</v>
      </c>
      <c r="O5" s="692"/>
      <c r="P5" s="677" t="s">
        <v>49</v>
      </c>
      <c r="Q5" s="151"/>
      <c r="R5" s="151"/>
      <c r="S5" s="210" t="str">
        <f>G5</f>
        <v>Pér.01</v>
      </c>
      <c r="T5" s="151"/>
      <c r="U5" s="151"/>
      <c r="V5" s="151"/>
      <c r="W5" s="151"/>
      <c r="X5" s="151"/>
      <c r="Y5" s="151"/>
      <c r="Z5" s="680" t="s">
        <v>50</v>
      </c>
      <c r="AA5" s="692"/>
      <c r="AB5" s="677" t="s">
        <v>49</v>
      </c>
      <c r="AC5" s="151"/>
      <c r="AD5" s="151"/>
      <c r="AE5" s="210" t="str">
        <f>S5</f>
        <v>Pér.01</v>
      </c>
      <c r="AF5" s="151"/>
      <c r="AG5" s="151"/>
      <c r="AH5" s="151"/>
      <c r="AI5" s="151"/>
      <c r="AJ5" s="151"/>
      <c r="AK5" s="151"/>
      <c r="AL5" s="680" t="s">
        <v>50</v>
      </c>
      <c r="AM5" s="692"/>
      <c r="AN5" s="677" t="s">
        <v>49</v>
      </c>
      <c r="AO5" s="151"/>
      <c r="AP5" s="151"/>
      <c r="AQ5" s="210" t="str">
        <f>AE5</f>
        <v>Pér.01</v>
      </c>
      <c r="AR5" s="151"/>
      <c r="AS5" s="151"/>
      <c r="AT5" s="151"/>
      <c r="AU5" s="151"/>
      <c r="AV5" s="151"/>
      <c r="AW5" s="151"/>
      <c r="AX5" s="680" t="s">
        <v>50</v>
      </c>
      <c r="AZ5" s="677" t="s">
        <v>49</v>
      </c>
      <c r="BA5" s="151"/>
      <c r="BB5" s="151"/>
      <c r="BC5" s="210" t="str">
        <f>AQ5</f>
        <v>Pér.01</v>
      </c>
      <c r="BD5" s="151"/>
      <c r="BE5" s="151"/>
      <c r="BF5" s="151"/>
      <c r="BG5" s="151"/>
      <c r="BH5" s="151"/>
      <c r="BI5" s="151"/>
      <c r="BJ5" s="680" t="s">
        <v>50</v>
      </c>
      <c r="BL5" s="677" t="s">
        <v>49</v>
      </c>
      <c r="BM5" s="151"/>
      <c r="BN5" s="151"/>
      <c r="BO5" s="210" t="str">
        <f>BC5</f>
        <v>Pér.01</v>
      </c>
      <c r="BP5" s="151"/>
      <c r="BQ5" s="151"/>
      <c r="BR5" s="151"/>
      <c r="BS5" s="151"/>
      <c r="BT5" s="151"/>
      <c r="BU5" s="151"/>
      <c r="BV5" s="680" t="s">
        <v>50</v>
      </c>
    </row>
    <row r="6" spans="2:74" ht="16" x14ac:dyDescent="0.2">
      <c r="B6" s="687"/>
      <c r="C6" s="676"/>
      <c r="D6" s="678"/>
      <c r="E6" s="152"/>
      <c r="F6" s="152"/>
      <c r="G6" s="152"/>
      <c r="H6" s="152"/>
      <c r="I6" s="152"/>
      <c r="J6" s="152"/>
      <c r="K6" s="152"/>
      <c r="L6" s="152"/>
      <c r="M6" s="152"/>
      <c r="N6" s="681"/>
      <c r="O6" s="692"/>
      <c r="P6" s="678"/>
      <c r="Q6" s="152"/>
      <c r="R6" s="152"/>
      <c r="S6" s="152"/>
      <c r="T6" s="152"/>
      <c r="U6" s="152"/>
      <c r="V6" s="152"/>
      <c r="W6" s="152"/>
      <c r="X6" s="152"/>
      <c r="Y6" s="152"/>
      <c r="Z6" s="681"/>
      <c r="AA6" s="692"/>
      <c r="AB6" s="678"/>
      <c r="AC6" s="152"/>
      <c r="AD6" s="152"/>
      <c r="AE6" s="152"/>
      <c r="AF6" s="152"/>
      <c r="AG6" s="152"/>
      <c r="AH6" s="152"/>
      <c r="AI6" s="152"/>
      <c r="AJ6" s="152"/>
      <c r="AK6" s="152"/>
      <c r="AL6" s="681"/>
      <c r="AM6" s="692"/>
      <c r="AN6" s="678"/>
      <c r="AO6" s="152"/>
      <c r="AP6" s="152"/>
      <c r="AQ6" s="152"/>
      <c r="AR6" s="152"/>
      <c r="AS6" s="152"/>
      <c r="AT6" s="152"/>
      <c r="AU6" s="152"/>
      <c r="AV6" s="152"/>
      <c r="AW6" s="152"/>
      <c r="AX6" s="681"/>
      <c r="AZ6" s="678"/>
      <c r="BA6" s="152"/>
      <c r="BB6" s="152"/>
      <c r="BC6" s="152"/>
      <c r="BD6" s="152"/>
      <c r="BE6" s="152"/>
      <c r="BF6" s="152"/>
      <c r="BG6" s="152"/>
      <c r="BH6" s="152"/>
      <c r="BI6" s="152"/>
      <c r="BJ6" s="681"/>
      <c r="BL6" s="678"/>
      <c r="BM6" s="152"/>
      <c r="BN6" s="152"/>
      <c r="BO6" s="152"/>
      <c r="BP6" s="152"/>
      <c r="BQ6" s="152"/>
      <c r="BR6" s="152"/>
      <c r="BS6" s="152"/>
      <c r="BT6" s="152"/>
      <c r="BU6" s="152"/>
      <c r="BV6" s="681"/>
    </row>
    <row r="7" spans="2:74" ht="21" x14ac:dyDescent="0.25">
      <c r="B7" s="687"/>
      <c r="C7" s="676"/>
      <c r="D7" s="678"/>
      <c r="E7" s="153" t="s">
        <v>51</v>
      </c>
      <c r="F7" s="153" t="s">
        <v>52</v>
      </c>
      <c r="G7" s="153" t="s">
        <v>53</v>
      </c>
      <c r="H7" s="153" t="s">
        <v>54</v>
      </c>
      <c r="I7" s="153" t="s">
        <v>55</v>
      </c>
      <c r="J7" s="153" t="s">
        <v>56</v>
      </c>
      <c r="K7" s="153" t="s">
        <v>54</v>
      </c>
      <c r="L7" s="153" t="s">
        <v>57</v>
      </c>
      <c r="M7" s="153" t="s">
        <v>58</v>
      </c>
      <c r="N7" s="681"/>
      <c r="O7" s="692"/>
      <c r="P7" s="678"/>
      <c r="Q7" s="153" t="str">
        <f>E7</f>
        <v>Demande mensuelle</v>
      </c>
      <c r="R7" s="153" t="s">
        <v>52</v>
      </c>
      <c r="S7" s="153" t="str">
        <f>G7</f>
        <v>Achalandage mensuel</v>
      </c>
      <c r="T7" s="153" t="s">
        <v>54</v>
      </c>
      <c r="U7" s="153" t="s">
        <v>55</v>
      </c>
      <c r="V7" s="153" t="str">
        <f>J7</f>
        <v>Um/A</v>
      </c>
      <c r="W7" s="153" t="s">
        <v>54</v>
      </c>
      <c r="X7" s="153" t="str">
        <f>L7</f>
        <v>PmO</v>
      </c>
      <c r="Y7" s="153" t="s">
        <v>58</v>
      </c>
      <c r="Z7" s="681"/>
      <c r="AA7" s="692"/>
      <c r="AB7" s="678"/>
      <c r="AC7" s="153" t="str">
        <f>E7</f>
        <v>Demande mensuelle</v>
      </c>
      <c r="AD7" s="153" t="s">
        <v>52</v>
      </c>
      <c r="AE7" s="153" t="str">
        <f>G7</f>
        <v>Achalandage mensuel</v>
      </c>
      <c r="AF7" s="153" t="s">
        <v>54</v>
      </c>
      <c r="AG7" s="153" t="s">
        <v>55</v>
      </c>
      <c r="AH7" s="153" t="str">
        <f>J7</f>
        <v>Um/A</v>
      </c>
      <c r="AI7" s="153" t="s">
        <v>54</v>
      </c>
      <c r="AJ7" s="153" t="str">
        <f>L7</f>
        <v>PmO</v>
      </c>
      <c r="AK7" s="153" t="s">
        <v>58</v>
      </c>
      <c r="AL7" s="681"/>
      <c r="AM7" s="692"/>
      <c r="AN7" s="678"/>
      <c r="AO7" s="153" t="str">
        <f>E7</f>
        <v>Demande mensuelle</v>
      </c>
      <c r="AP7" s="153" t="s">
        <v>52</v>
      </c>
      <c r="AQ7" s="153" t="str">
        <f>G7</f>
        <v>Achalandage mensuel</v>
      </c>
      <c r="AR7" s="153" t="s">
        <v>54</v>
      </c>
      <c r="AS7" s="153" t="s">
        <v>55</v>
      </c>
      <c r="AT7" s="153" t="str">
        <f>J7</f>
        <v>Um/A</v>
      </c>
      <c r="AU7" s="153" t="s">
        <v>54</v>
      </c>
      <c r="AV7" s="153" t="str">
        <f>L7</f>
        <v>PmO</v>
      </c>
      <c r="AW7" s="153" t="s">
        <v>58</v>
      </c>
      <c r="AX7" s="681"/>
      <c r="AZ7" s="678"/>
      <c r="BA7" s="153" t="s">
        <v>59</v>
      </c>
      <c r="BB7" s="153" t="s">
        <v>52</v>
      </c>
      <c r="BC7" s="153" t="str">
        <f>G7</f>
        <v>Achalandage mensuel</v>
      </c>
      <c r="BD7" s="153" t="s">
        <v>54</v>
      </c>
      <c r="BE7" s="153" t="s">
        <v>55</v>
      </c>
      <c r="BF7" s="153" t="str">
        <f>J7</f>
        <v>Um/A</v>
      </c>
      <c r="BG7" s="153" t="s">
        <v>54</v>
      </c>
      <c r="BH7" s="153" t="s">
        <v>60</v>
      </c>
      <c r="BI7" s="153" t="s">
        <v>58</v>
      </c>
      <c r="BJ7" s="681"/>
      <c r="BL7" s="678"/>
      <c r="BM7" s="153" t="s">
        <v>61</v>
      </c>
      <c r="BN7" s="153" t="s">
        <v>52</v>
      </c>
      <c r="BO7" s="153" t="str">
        <f>S7</f>
        <v>Achalandage mensuel</v>
      </c>
      <c r="BP7" s="153" t="s">
        <v>54</v>
      </c>
      <c r="BQ7" s="153" t="s">
        <v>55</v>
      </c>
      <c r="BR7" s="153" t="str">
        <f>V7</f>
        <v>Um/A</v>
      </c>
      <c r="BS7" s="153" t="s">
        <v>54</v>
      </c>
      <c r="BT7" s="153" t="s">
        <v>62</v>
      </c>
      <c r="BU7" s="153" t="s">
        <v>58</v>
      </c>
      <c r="BV7" s="681"/>
    </row>
    <row r="8" spans="2:74" ht="19" x14ac:dyDescent="0.25">
      <c r="B8" s="687"/>
      <c r="C8" s="676"/>
      <c r="D8" s="678"/>
      <c r="E8" s="154" t="s">
        <v>1</v>
      </c>
      <c r="F8" s="155"/>
      <c r="G8" s="154"/>
      <c r="H8" s="155"/>
      <c r="I8" s="155"/>
      <c r="J8" s="155"/>
      <c r="K8" s="155"/>
      <c r="L8" s="155"/>
      <c r="M8" s="155"/>
      <c r="N8" s="681"/>
      <c r="O8" s="692"/>
      <c r="P8" s="678"/>
      <c r="Q8" s="154" t="s">
        <v>1</v>
      </c>
      <c r="R8" s="155"/>
      <c r="S8" s="154"/>
      <c r="T8" s="155"/>
      <c r="U8" s="155"/>
      <c r="V8" s="155"/>
      <c r="W8" s="155"/>
      <c r="X8" s="155"/>
      <c r="Y8" s="155"/>
      <c r="Z8" s="681"/>
      <c r="AA8" s="692"/>
      <c r="AB8" s="678"/>
      <c r="AC8" s="154" t="s">
        <v>1</v>
      </c>
      <c r="AD8" s="155"/>
      <c r="AE8" s="154"/>
      <c r="AF8" s="155"/>
      <c r="AG8" s="155"/>
      <c r="AH8" s="155"/>
      <c r="AI8" s="155"/>
      <c r="AJ8" s="155"/>
      <c r="AK8" s="155"/>
      <c r="AL8" s="681"/>
      <c r="AM8" s="692"/>
      <c r="AN8" s="678"/>
      <c r="AO8" s="154" t="s">
        <v>1</v>
      </c>
      <c r="AP8" s="155"/>
      <c r="AQ8" s="154"/>
      <c r="AR8" s="155"/>
      <c r="AS8" s="155"/>
      <c r="AT8" s="155"/>
      <c r="AU8" s="155"/>
      <c r="AV8" s="155"/>
      <c r="AW8" s="155"/>
      <c r="AX8" s="681"/>
      <c r="AZ8" s="678"/>
      <c r="BA8" s="154" t="s">
        <v>1</v>
      </c>
      <c r="BB8" s="155"/>
      <c r="BC8" s="154"/>
      <c r="BD8" s="155"/>
      <c r="BE8" s="155"/>
      <c r="BF8" s="155"/>
      <c r="BG8" s="155"/>
      <c r="BH8" s="155"/>
      <c r="BI8" s="155"/>
      <c r="BJ8" s="681"/>
      <c r="BL8" s="678"/>
      <c r="BM8" s="154" t="s">
        <v>1</v>
      </c>
      <c r="BN8" s="155"/>
      <c r="BO8" s="154"/>
      <c r="BP8" s="155"/>
      <c r="BQ8" s="155"/>
      <c r="BR8" s="155"/>
      <c r="BS8" s="155"/>
      <c r="BT8" s="155"/>
      <c r="BU8" s="155"/>
      <c r="BV8" s="681"/>
    </row>
    <row r="9" spans="2:74" ht="26" x14ac:dyDescent="0.3">
      <c r="B9" s="687"/>
      <c r="C9" s="676"/>
      <c r="D9" s="678"/>
      <c r="E9" s="156" t="s">
        <v>63</v>
      </c>
      <c r="F9" s="157"/>
      <c r="G9" s="156" t="s">
        <v>64</v>
      </c>
      <c r="H9" s="157"/>
      <c r="I9" s="157"/>
      <c r="J9" s="156" t="str">
        <f>+J7</f>
        <v>Um/A</v>
      </c>
      <c r="K9" s="157"/>
      <c r="L9" s="156" t="str">
        <f>+L7</f>
        <v>PmO</v>
      </c>
      <c r="M9" s="157"/>
      <c r="N9" s="681"/>
      <c r="O9" s="692"/>
      <c r="P9" s="678"/>
      <c r="Q9" s="156" t="str">
        <f>E9</f>
        <v>D</v>
      </c>
      <c r="R9" s="157"/>
      <c r="S9" s="156" t="str">
        <f>G9</f>
        <v>A</v>
      </c>
      <c r="T9" s="157"/>
      <c r="U9" s="157"/>
      <c r="V9" s="156" t="str">
        <f>+V7</f>
        <v>Um/A</v>
      </c>
      <c r="W9" s="157"/>
      <c r="X9" s="156" t="str">
        <f>+X7</f>
        <v>PmO</v>
      </c>
      <c r="Y9" s="157"/>
      <c r="Z9" s="681"/>
      <c r="AA9" s="692"/>
      <c r="AB9" s="678"/>
      <c r="AC9" s="156" t="str">
        <f>E9</f>
        <v>D</v>
      </c>
      <c r="AD9" s="157"/>
      <c r="AE9" s="156" t="str">
        <f>G9</f>
        <v>A</v>
      </c>
      <c r="AF9" s="157"/>
      <c r="AG9" s="157"/>
      <c r="AH9" s="156" t="str">
        <f>+AH7</f>
        <v>Um/A</v>
      </c>
      <c r="AI9" s="157"/>
      <c r="AJ9" s="156" t="str">
        <f>+AJ7</f>
        <v>PmO</v>
      </c>
      <c r="AK9" s="157"/>
      <c r="AL9" s="681"/>
      <c r="AM9" s="692"/>
      <c r="AN9" s="678"/>
      <c r="AO9" s="156" t="str">
        <f>E9</f>
        <v>D</v>
      </c>
      <c r="AP9" s="157"/>
      <c r="AQ9" s="156" t="str">
        <f>G9</f>
        <v>A</v>
      </c>
      <c r="AR9" s="157"/>
      <c r="AS9" s="157"/>
      <c r="AT9" s="156" t="str">
        <f>+AT7</f>
        <v>Um/A</v>
      </c>
      <c r="AU9" s="157"/>
      <c r="AV9" s="156" t="str">
        <f>+AV7</f>
        <v>PmO</v>
      </c>
      <c r="AW9" s="157"/>
      <c r="AX9" s="681"/>
      <c r="AZ9" s="678"/>
      <c r="BA9" s="156" t="s">
        <v>65</v>
      </c>
      <c r="BB9" s="157"/>
      <c r="BC9" s="156" t="str">
        <f>G9</f>
        <v>A</v>
      </c>
      <c r="BD9" s="157"/>
      <c r="BE9" s="157"/>
      <c r="BF9" s="156" t="str">
        <f>BF7</f>
        <v>Um/A</v>
      </c>
      <c r="BG9" s="157"/>
      <c r="BH9" s="156" t="str">
        <f>BH7</f>
        <v>CmO</v>
      </c>
      <c r="BI9" s="157"/>
      <c r="BJ9" s="681"/>
      <c r="BL9" s="678"/>
      <c r="BM9" s="156" t="s">
        <v>66</v>
      </c>
      <c r="BN9" s="157"/>
      <c r="BO9" s="156" t="str">
        <f>S9</f>
        <v>A</v>
      </c>
      <c r="BP9" s="157"/>
      <c r="BQ9" s="157"/>
      <c r="BR9" s="156" t="str">
        <f>BR7</f>
        <v>Um/A</v>
      </c>
      <c r="BS9" s="157"/>
      <c r="BT9" s="156" t="str">
        <f>BT7</f>
        <v>BmO</v>
      </c>
      <c r="BU9" s="157"/>
      <c r="BV9" s="681"/>
    </row>
    <row r="10" spans="2:74" ht="21" x14ac:dyDescent="0.25">
      <c r="B10" s="687"/>
      <c r="C10" s="676"/>
      <c r="D10" s="678"/>
      <c r="E10" s="158">
        <f>+Q10+AC10+AO10</f>
        <v>3394.7200000000003</v>
      </c>
      <c r="F10" s="153" t="s">
        <v>52</v>
      </c>
      <c r="G10" s="159">
        <f>'% Occupation'!D19</f>
        <v>196</v>
      </c>
      <c r="H10" s="153" t="s">
        <v>54</v>
      </c>
      <c r="I10" s="153" t="s">
        <v>55</v>
      </c>
      <c r="J10" s="160">
        <f>+V10+AH10+AT10</f>
        <v>2.1</v>
      </c>
      <c r="K10" s="153" t="s">
        <v>54</v>
      </c>
      <c r="L10" s="158">
        <f>E10/G10/J10</f>
        <v>8.2476190476190467</v>
      </c>
      <c r="M10" s="153" t="s">
        <v>58</v>
      </c>
      <c r="N10" s="681"/>
      <c r="O10" s="692"/>
      <c r="P10" s="678"/>
      <c r="Q10" s="158">
        <f>+S10*(V10*X10)</f>
        <v>944.06666666666683</v>
      </c>
      <c r="R10" s="153" t="s">
        <v>52</v>
      </c>
      <c r="S10" s="159">
        <f>G10</f>
        <v>196</v>
      </c>
      <c r="T10" s="153" t="s">
        <v>54</v>
      </c>
      <c r="U10" s="153" t="s">
        <v>55</v>
      </c>
      <c r="V10" s="301">
        <f>'Calcul CmO et PmO'!L21</f>
        <v>1</v>
      </c>
      <c r="W10" s="153" t="s">
        <v>54</v>
      </c>
      <c r="X10" s="302">
        <f>'Calcul CmO et PmO'!F21</f>
        <v>4.8166666666666673</v>
      </c>
      <c r="Y10" s="153" t="s">
        <v>58</v>
      </c>
      <c r="Z10" s="681"/>
      <c r="AA10" s="692"/>
      <c r="AB10" s="678"/>
      <c r="AC10" s="158">
        <f>+AE10*(AH10*AJ10)</f>
        <v>1868.5333333333333</v>
      </c>
      <c r="AD10" s="153" t="s">
        <v>52</v>
      </c>
      <c r="AE10" s="159">
        <f>S10</f>
        <v>196</v>
      </c>
      <c r="AF10" s="153" t="s">
        <v>54</v>
      </c>
      <c r="AG10" s="153" t="s">
        <v>55</v>
      </c>
      <c r="AH10" s="301">
        <f>'Calcul CmO et PmO'!L36</f>
        <v>1</v>
      </c>
      <c r="AI10" s="304" t="s">
        <v>54</v>
      </c>
      <c r="AJ10" s="302">
        <f>'Calcul CmO et PmO'!F36</f>
        <v>9.5333333333333332</v>
      </c>
      <c r="AK10" s="153" t="s">
        <v>58</v>
      </c>
      <c r="AL10" s="681"/>
      <c r="AM10" s="692"/>
      <c r="AN10" s="678"/>
      <c r="AO10" s="158">
        <f>+AQ10*(AT10*AV10)</f>
        <v>582.12</v>
      </c>
      <c r="AP10" s="153" t="s">
        <v>52</v>
      </c>
      <c r="AQ10" s="159">
        <f>AE10</f>
        <v>196</v>
      </c>
      <c r="AR10" s="153" t="s">
        <v>54</v>
      </c>
      <c r="AS10" s="153" t="s">
        <v>55</v>
      </c>
      <c r="AT10" s="161">
        <v>0.1</v>
      </c>
      <c r="AU10" s="153" t="s">
        <v>54</v>
      </c>
      <c r="AV10" s="302">
        <f>'Calcul CmO, PmO, Etc.'!E28</f>
        <v>29.7</v>
      </c>
      <c r="AW10" s="153" t="s">
        <v>58</v>
      </c>
      <c r="AX10" s="681"/>
      <c r="AZ10" s="678"/>
      <c r="BA10" s="158">
        <f>+BC10*(BF10*BH10)</f>
        <v>0</v>
      </c>
      <c r="BB10" s="153" t="s">
        <v>52</v>
      </c>
      <c r="BC10" s="159">
        <f>G10</f>
        <v>196</v>
      </c>
      <c r="BD10" s="153" t="s">
        <v>54</v>
      </c>
      <c r="BE10" s="153" t="s">
        <v>55</v>
      </c>
      <c r="BF10" s="160">
        <f>J10</f>
        <v>2.1</v>
      </c>
      <c r="BG10" s="153" t="s">
        <v>54</v>
      </c>
      <c r="BH10" s="208">
        <v>0</v>
      </c>
      <c r="BI10" s="153" t="s">
        <v>58</v>
      </c>
      <c r="BJ10" s="681"/>
      <c r="BL10" s="678"/>
      <c r="BM10" s="158">
        <f>E10-BA10</f>
        <v>3394.7200000000003</v>
      </c>
      <c r="BN10" s="153" t="s">
        <v>52</v>
      </c>
      <c r="BO10" s="159">
        <f>S10</f>
        <v>196</v>
      </c>
      <c r="BP10" s="153" t="s">
        <v>54</v>
      </c>
      <c r="BQ10" s="153" t="s">
        <v>55</v>
      </c>
      <c r="BR10" s="160">
        <f>J10</f>
        <v>2.1</v>
      </c>
      <c r="BS10" s="153" t="s">
        <v>54</v>
      </c>
      <c r="BT10" s="158">
        <f>BM10/BO10/BR10</f>
        <v>8.2476190476190467</v>
      </c>
      <c r="BU10" s="153" t="s">
        <v>58</v>
      </c>
      <c r="BV10" s="681"/>
    </row>
    <row r="11" spans="2:74" ht="17" thickBot="1" x14ac:dyDescent="0.25">
      <c r="B11" s="687"/>
      <c r="C11" s="676"/>
      <c r="D11" s="679"/>
      <c r="E11" s="163"/>
      <c r="F11" s="163"/>
      <c r="G11" s="163"/>
      <c r="H11" s="163"/>
      <c r="I11" s="163"/>
      <c r="J11" s="163"/>
      <c r="K11" s="163"/>
      <c r="L11" s="163"/>
      <c r="M11" s="163"/>
      <c r="N11" s="682"/>
      <c r="O11" s="692"/>
      <c r="P11" s="679"/>
      <c r="Q11" s="163"/>
      <c r="R11" s="163"/>
      <c r="S11" s="163"/>
      <c r="T11" s="163"/>
      <c r="U11" s="163"/>
      <c r="V11" s="163"/>
      <c r="W11" s="163"/>
      <c r="X11" s="163"/>
      <c r="Y11" s="163"/>
      <c r="Z11" s="682"/>
      <c r="AA11" s="692"/>
      <c r="AB11" s="679"/>
      <c r="AC11" s="163"/>
      <c r="AD11" s="163"/>
      <c r="AE11" s="163"/>
      <c r="AF11" s="163"/>
      <c r="AG11" s="163"/>
      <c r="AH11" s="306"/>
      <c r="AI11" s="306"/>
      <c r="AJ11" s="306"/>
      <c r="AK11" s="163"/>
      <c r="AL11" s="682"/>
      <c r="AM11" s="692"/>
      <c r="AN11" s="679"/>
      <c r="AO11" s="163"/>
      <c r="AP11" s="163"/>
      <c r="AQ11" s="163"/>
      <c r="AR11" s="163"/>
      <c r="AS11" s="163"/>
      <c r="AT11" s="163"/>
      <c r="AU11" s="163"/>
      <c r="AV11" s="412"/>
      <c r="AW11" s="163"/>
      <c r="AX11" s="682"/>
      <c r="AZ11" s="679"/>
      <c r="BA11" s="163"/>
      <c r="BB11" s="163"/>
      <c r="BC11" s="163"/>
      <c r="BD11" s="163"/>
      <c r="BE11" s="163"/>
      <c r="BF11" s="163"/>
      <c r="BG11" s="163"/>
      <c r="BH11" s="163"/>
      <c r="BI11" s="163"/>
      <c r="BJ11" s="682"/>
      <c r="BL11" s="679"/>
      <c r="BM11" s="163"/>
      <c r="BN11" s="163"/>
      <c r="BO11" s="163"/>
      <c r="BP11" s="163"/>
      <c r="BQ11" s="163"/>
      <c r="BR11" s="163"/>
      <c r="BS11" s="163"/>
      <c r="BT11" s="163"/>
      <c r="BU11" s="163"/>
      <c r="BV11" s="682"/>
    </row>
    <row r="12" spans="2:74" ht="5" customHeight="1" thickTop="1" thickBot="1" x14ac:dyDescent="0.2">
      <c r="B12" s="687"/>
      <c r="C12" s="150"/>
      <c r="AH12" s="307"/>
      <c r="AI12" s="307"/>
      <c r="AJ12" s="307"/>
      <c r="AV12" s="307"/>
    </row>
    <row r="13" spans="2:74" ht="16" customHeight="1" thickTop="1" x14ac:dyDescent="0.2">
      <c r="B13" s="687"/>
      <c r="C13" s="676">
        <v>2</v>
      </c>
      <c r="D13" s="677" t="s">
        <v>49</v>
      </c>
      <c r="E13" s="151"/>
      <c r="F13" s="151"/>
      <c r="G13" s="210" t="str">
        <f>'Achalandage journalier'!E5</f>
        <v>Pér.02</v>
      </c>
      <c r="H13" s="151"/>
      <c r="I13" s="151"/>
      <c r="J13" s="151"/>
      <c r="K13" s="151"/>
      <c r="L13" s="151"/>
      <c r="M13" s="151"/>
      <c r="N13" s="680" t="s">
        <v>50</v>
      </c>
      <c r="P13" s="677" t="s">
        <v>49</v>
      </c>
      <c r="Q13" s="151"/>
      <c r="R13" s="151"/>
      <c r="S13" s="210" t="str">
        <f>G13</f>
        <v>Pér.02</v>
      </c>
      <c r="T13" s="151"/>
      <c r="U13" s="151"/>
      <c r="V13" s="151"/>
      <c r="W13" s="151"/>
      <c r="X13" s="151"/>
      <c r="Y13" s="151"/>
      <c r="Z13" s="680" t="s">
        <v>50</v>
      </c>
      <c r="AB13" s="677" t="s">
        <v>49</v>
      </c>
      <c r="AC13" s="151"/>
      <c r="AD13" s="151"/>
      <c r="AE13" s="210" t="str">
        <f>S13</f>
        <v>Pér.02</v>
      </c>
      <c r="AF13" s="151"/>
      <c r="AG13" s="151"/>
      <c r="AH13" s="308"/>
      <c r="AI13" s="308"/>
      <c r="AJ13" s="308"/>
      <c r="AK13" s="151"/>
      <c r="AL13" s="680" t="s">
        <v>50</v>
      </c>
      <c r="AN13" s="677" t="s">
        <v>49</v>
      </c>
      <c r="AO13" s="151"/>
      <c r="AP13" s="151"/>
      <c r="AQ13" s="210" t="str">
        <f>AE13</f>
        <v>Pér.02</v>
      </c>
      <c r="AR13" s="151"/>
      <c r="AS13" s="151"/>
      <c r="AT13" s="151"/>
      <c r="AU13" s="151"/>
      <c r="AV13" s="413"/>
      <c r="AW13" s="151"/>
      <c r="AX13" s="680" t="s">
        <v>50</v>
      </c>
      <c r="AZ13" s="677" t="s">
        <v>49</v>
      </c>
      <c r="BA13" s="151"/>
      <c r="BB13" s="151"/>
      <c r="BC13" s="210" t="str">
        <f>AQ13</f>
        <v>Pér.02</v>
      </c>
      <c r="BD13" s="151"/>
      <c r="BE13" s="151"/>
      <c r="BF13" s="151"/>
      <c r="BG13" s="151"/>
      <c r="BH13" s="151"/>
      <c r="BI13" s="151"/>
      <c r="BJ13" s="680" t="s">
        <v>50</v>
      </c>
      <c r="BL13" s="677" t="s">
        <v>49</v>
      </c>
      <c r="BM13" s="151"/>
      <c r="BN13" s="151"/>
      <c r="BO13" s="210" t="str">
        <f>BC13</f>
        <v>Pér.02</v>
      </c>
      <c r="BP13" s="151"/>
      <c r="BQ13" s="151"/>
      <c r="BR13" s="151"/>
      <c r="BS13" s="151"/>
      <c r="BT13" s="151"/>
      <c r="BU13" s="151"/>
      <c r="BV13" s="680" t="s">
        <v>50</v>
      </c>
    </row>
    <row r="14" spans="2:74" ht="16" x14ac:dyDescent="0.2">
      <c r="B14" s="687"/>
      <c r="C14" s="676"/>
      <c r="D14" s="678"/>
      <c r="E14" s="152"/>
      <c r="F14" s="152"/>
      <c r="G14" s="152"/>
      <c r="H14" s="152"/>
      <c r="I14" s="152"/>
      <c r="J14" s="152"/>
      <c r="K14" s="152"/>
      <c r="L14" s="152"/>
      <c r="M14" s="152"/>
      <c r="N14" s="681"/>
      <c r="P14" s="678"/>
      <c r="Q14" s="152"/>
      <c r="R14" s="152"/>
      <c r="S14" s="152"/>
      <c r="T14" s="152"/>
      <c r="U14" s="152"/>
      <c r="V14" s="152"/>
      <c r="W14" s="152"/>
      <c r="X14" s="152"/>
      <c r="Y14" s="152"/>
      <c r="Z14" s="681"/>
      <c r="AB14" s="678"/>
      <c r="AC14" s="152"/>
      <c r="AD14" s="152"/>
      <c r="AE14" s="152"/>
      <c r="AF14" s="152"/>
      <c r="AG14" s="152"/>
      <c r="AH14" s="309"/>
      <c r="AI14" s="309"/>
      <c r="AJ14" s="309"/>
      <c r="AK14" s="152"/>
      <c r="AL14" s="681"/>
      <c r="AN14" s="678"/>
      <c r="AO14" s="152"/>
      <c r="AP14" s="152"/>
      <c r="AQ14" s="152"/>
      <c r="AR14" s="152"/>
      <c r="AS14" s="152"/>
      <c r="AT14" s="152"/>
      <c r="AU14" s="152"/>
      <c r="AV14" s="414"/>
      <c r="AW14" s="152"/>
      <c r="AX14" s="681"/>
      <c r="AZ14" s="678"/>
      <c r="BA14" s="152"/>
      <c r="BB14" s="152"/>
      <c r="BC14" s="152"/>
      <c r="BD14" s="152"/>
      <c r="BE14" s="152"/>
      <c r="BF14" s="152"/>
      <c r="BG14" s="152"/>
      <c r="BH14" s="152"/>
      <c r="BI14" s="152"/>
      <c r="BJ14" s="681"/>
      <c r="BL14" s="678"/>
      <c r="BM14" s="152"/>
      <c r="BN14" s="152"/>
      <c r="BO14" s="152"/>
      <c r="BP14" s="152"/>
      <c r="BQ14" s="152"/>
      <c r="BR14" s="152"/>
      <c r="BS14" s="152"/>
      <c r="BT14" s="152"/>
      <c r="BU14" s="152"/>
      <c r="BV14" s="681"/>
    </row>
    <row r="15" spans="2:74" ht="21" customHeight="1" x14ac:dyDescent="0.25">
      <c r="B15" s="687"/>
      <c r="C15" s="676"/>
      <c r="D15" s="678"/>
      <c r="E15" s="153" t="str">
        <f>+E7</f>
        <v>Demande mensuelle</v>
      </c>
      <c r="F15" s="153" t="s">
        <v>52</v>
      </c>
      <c r="G15" s="153" t="str">
        <f>+G7</f>
        <v>Achalandage mensuel</v>
      </c>
      <c r="H15" s="153" t="s">
        <v>54</v>
      </c>
      <c r="I15" s="153" t="s">
        <v>55</v>
      </c>
      <c r="J15" s="153" t="str">
        <f>J7</f>
        <v>Um/A</v>
      </c>
      <c r="K15" s="153" t="s">
        <v>54</v>
      </c>
      <c r="L15" s="153" t="str">
        <f>L7</f>
        <v>PmO</v>
      </c>
      <c r="M15" s="153" t="s">
        <v>58</v>
      </c>
      <c r="N15" s="681"/>
      <c r="P15" s="678"/>
      <c r="Q15" s="153" t="str">
        <f>+Q7</f>
        <v>Demande mensuelle</v>
      </c>
      <c r="R15" s="153" t="s">
        <v>52</v>
      </c>
      <c r="S15" s="153" t="str">
        <f>+S7</f>
        <v>Achalandage mensuel</v>
      </c>
      <c r="T15" s="153" t="s">
        <v>54</v>
      </c>
      <c r="U15" s="153" t="s">
        <v>55</v>
      </c>
      <c r="V15" s="153" t="str">
        <f>V7</f>
        <v>Um/A</v>
      </c>
      <c r="W15" s="153" t="s">
        <v>54</v>
      </c>
      <c r="X15" s="153" t="str">
        <f>X7</f>
        <v>PmO</v>
      </c>
      <c r="Y15" s="153" t="s">
        <v>58</v>
      </c>
      <c r="Z15" s="681"/>
      <c r="AB15" s="678"/>
      <c r="AC15" s="153" t="str">
        <f>AC7</f>
        <v>Demande mensuelle</v>
      </c>
      <c r="AD15" s="153" t="s">
        <v>52</v>
      </c>
      <c r="AE15" s="153" t="str">
        <f>AE7</f>
        <v>Achalandage mensuel</v>
      </c>
      <c r="AF15" s="153" t="s">
        <v>54</v>
      </c>
      <c r="AG15" s="153" t="s">
        <v>55</v>
      </c>
      <c r="AH15" s="304" t="str">
        <f>AH7</f>
        <v>Um/A</v>
      </c>
      <c r="AI15" s="304" t="s">
        <v>54</v>
      </c>
      <c r="AJ15" s="304" t="str">
        <f>AJ7</f>
        <v>PmO</v>
      </c>
      <c r="AK15" s="153" t="s">
        <v>58</v>
      </c>
      <c r="AL15" s="681"/>
      <c r="AN15" s="678"/>
      <c r="AO15" s="153" t="str">
        <f>AO7</f>
        <v>Demande mensuelle</v>
      </c>
      <c r="AP15" s="153" t="s">
        <v>52</v>
      </c>
      <c r="AQ15" s="153" t="str">
        <f>AQ7</f>
        <v>Achalandage mensuel</v>
      </c>
      <c r="AR15" s="153" t="s">
        <v>54</v>
      </c>
      <c r="AS15" s="153" t="s">
        <v>55</v>
      </c>
      <c r="AT15" s="153" t="str">
        <f>AT7</f>
        <v>Um/A</v>
      </c>
      <c r="AU15" s="153" t="s">
        <v>54</v>
      </c>
      <c r="AV15" s="304" t="str">
        <f>AV7</f>
        <v>PmO</v>
      </c>
      <c r="AW15" s="153" t="s">
        <v>58</v>
      </c>
      <c r="AX15" s="681"/>
      <c r="AZ15" s="678"/>
      <c r="BA15" s="153" t="str">
        <f>BA7</f>
        <v>Coût mensuel</v>
      </c>
      <c r="BB15" s="153" t="s">
        <v>52</v>
      </c>
      <c r="BC15" s="153" t="str">
        <f>G15</f>
        <v>Achalandage mensuel</v>
      </c>
      <c r="BD15" s="153" t="s">
        <v>54</v>
      </c>
      <c r="BE15" s="153" t="s">
        <v>55</v>
      </c>
      <c r="BF15" s="153" t="str">
        <f>J15</f>
        <v>Um/A</v>
      </c>
      <c r="BG15" s="153" t="s">
        <v>54</v>
      </c>
      <c r="BH15" s="153" t="str">
        <f>BH7</f>
        <v>CmO</v>
      </c>
      <c r="BI15" s="153" t="s">
        <v>58</v>
      </c>
      <c r="BJ15" s="681"/>
      <c r="BL15" s="678"/>
      <c r="BM15" s="153" t="str">
        <f>BM7</f>
        <v>Bénéfice mensuel</v>
      </c>
      <c r="BN15" s="153" t="s">
        <v>52</v>
      </c>
      <c r="BO15" s="153" t="str">
        <f>S15</f>
        <v>Achalandage mensuel</v>
      </c>
      <c r="BP15" s="153" t="s">
        <v>54</v>
      </c>
      <c r="BQ15" s="153" t="s">
        <v>55</v>
      </c>
      <c r="BR15" s="153" t="str">
        <f>V15</f>
        <v>Um/A</v>
      </c>
      <c r="BS15" s="153" t="s">
        <v>54</v>
      </c>
      <c r="BT15" s="153" t="str">
        <f>BT7</f>
        <v>BmO</v>
      </c>
      <c r="BU15" s="153" t="s">
        <v>58</v>
      </c>
      <c r="BV15" s="681"/>
    </row>
    <row r="16" spans="2:74" ht="19" x14ac:dyDescent="0.25">
      <c r="B16" s="687"/>
      <c r="C16" s="676"/>
      <c r="D16" s="678"/>
      <c r="E16" s="154" t="s">
        <v>1</v>
      </c>
      <c r="F16" s="155"/>
      <c r="G16" s="154"/>
      <c r="H16" s="155"/>
      <c r="I16" s="155"/>
      <c r="J16" s="155"/>
      <c r="K16" s="155"/>
      <c r="L16" s="155"/>
      <c r="M16" s="155"/>
      <c r="N16" s="681"/>
      <c r="P16" s="678"/>
      <c r="Q16" s="154" t="s">
        <v>1</v>
      </c>
      <c r="R16" s="155"/>
      <c r="S16" s="154"/>
      <c r="T16" s="155"/>
      <c r="U16" s="155"/>
      <c r="V16" s="155"/>
      <c r="W16" s="155"/>
      <c r="X16" s="155"/>
      <c r="Y16" s="155"/>
      <c r="Z16" s="681"/>
      <c r="AB16" s="678"/>
      <c r="AC16" s="154" t="s">
        <v>1</v>
      </c>
      <c r="AD16" s="155"/>
      <c r="AE16" s="154"/>
      <c r="AF16" s="155"/>
      <c r="AG16" s="155"/>
      <c r="AH16" s="310"/>
      <c r="AI16" s="310"/>
      <c r="AJ16" s="310"/>
      <c r="AK16" s="155"/>
      <c r="AL16" s="681"/>
      <c r="AN16" s="678"/>
      <c r="AO16" s="154" t="s">
        <v>1</v>
      </c>
      <c r="AP16" s="155"/>
      <c r="AQ16" s="154"/>
      <c r="AR16" s="155"/>
      <c r="AS16" s="155"/>
      <c r="AT16" s="155"/>
      <c r="AU16" s="155"/>
      <c r="AV16" s="310"/>
      <c r="AW16" s="155"/>
      <c r="AX16" s="681"/>
      <c r="AZ16" s="678"/>
      <c r="BA16" s="154" t="s">
        <v>1</v>
      </c>
      <c r="BB16" s="155"/>
      <c r="BC16" s="154"/>
      <c r="BD16" s="155"/>
      <c r="BE16" s="155"/>
      <c r="BF16" s="155"/>
      <c r="BG16" s="155"/>
      <c r="BH16" s="155"/>
      <c r="BI16" s="155"/>
      <c r="BJ16" s="681"/>
      <c r="BL16" s="678"/>
      <c r="BM16" s="154" t="s">
        <v>1</v>
      </c>
      <c r="BN16" s="155"/>
      <c r="BO16" s="154"/>
      <c r="BP16" s="155"/>
      <c r="BQ16" s="155"/>
      <c r="BR16" s="155"/>
      <c r="BS16" s="155"/>
      <c r="BT16" s="155"/>
      <c r="BU16" s="155"/>
      <c r="BV16" s="681"/>
    </row>
    <row r="17" spans="2:74" ht="26" customHeight="1" x14ac:dyDescent="0.3">
      <c r="B17" s="687"/>
      <c r="C17" s="676"/>
      <c r="D17" s="678"/>
      <c r="E17" s="156" t="str">
        <f>E9</f>
        <v>D</v>
      </c>
      <c r="F17" s="157"/>
      <c r="G17" s="156" t="str">
        <f>G9</f>
        <v>A</v>
      </c>
      <c r="H17" s="157"/>
      <c r="I17" s="157"/>
      <c r="J17" s="156" t="str">
        <f>+J15</f>
        <v>Um/A</v>
      </c>
      <c r="K17" s="157"/>
      <c r="L17" s="156" t="str">
        <f>+L15</f>
        <v>PmO</v>
      </c>
      <c r="M17" s="157"/>
      <c r="N17" s="681"/>
      <c r="P17" s="678"/>
      <c r="Q17" s="156" t="str">
        <f>Q9</f>
        <v>D</v>
      </c>
      <c r="R17" s="157"/>
      <c r="S17" s="156" t="str">
        <f>S9</f>
        <v>A</v>
      </c>
      <c r="T17" s="157"/>
      <c r="U17" s="305"/>
      <c r="V17" s="303" t="str">
        <f>+V15</f>
        <v>Um/A</v>
      </c>
      <c r="W17" s="305"/>
      <c r="X17" s="303" t="str">
        <f>+X15</f>
        <v>PmO</v>
      </c>
      <c r="Y17" s="305"/>
      <c r="Z17" s="681"/>
      <c r="AB17" s="678"/>
      <c r="AC17" s="156" t="str">
        <f>AC9</f>
        <v>D</v>
      </c>
      <c r="AD17" s="157"/>
      <c r="AE17" s="156" t="str">
        <f>AE9</f>
        <v>A</v>
      </c>
      <c r="AF17" s="157"/>
      <c r="AG17" s="157"/>
      <c r="AH17" s="303" t="str">
        <f>+AH15</f>
        <v>Um/A</v>
      </c>
      <c r="AI17" s="305"/>
      <c r="AJ17" s="303" t="str">
        <f>+AJ15</f>
        <v>PmO</v>
      </c>
      <c r="AK17" s="157"/>
      <c r="AL17" s="681"/>
      <c r="AN17" s="678"/>
      <c r="AO17" s="156" t="str">
        <f>AO9</f>
        <v>D</v>
      </c>
      <c r="AP17" s="157"/>
      <c r="AQ17" s="156" t="str">
        <f>AQ9</f>
        <v>A</v>
      </c>
      <c r="AR17" s="157"/>
      <c r="AS17" s="157"/>
      <c r="AT17" s="156" t="str">
        <f>+AT15</f>
        <v>Um/A</v>
      </c>
      <c r="AU17" s="157"/>
      <c r="AV17" s="303" t="str">
        <f>+AV15</f>
        <v>PmO</v>
      </c>
      <c r="AW17" s="157"/>
      <c r="AX17" s="681"/>
      <c r="AZ17" s="678"/>
      <c r="BA17" s="156" t="str">
        <f>BA9</f>
        <v xml:space="preserve">C </v>
      </c>
      <c r="BB17" s="157"/>
      <c r="BC17" s="156" t="str">
        <f>G17</f>
        <v>A</v>
      </c>
      <c r="BD17" s="157"/>
      <c r="BE17" s="157"/>
      <c r="BF17" s="156" t="str">
        <f>BF15</f>
        <v>Um/A</v>
      </c>
      <c r="BG17" s="157"/>
      <c r="BH17" s="156" t="str">
        <f>BH15</f>
        <v>CmO</v>
      </c>
      <c r="BI17" s="157"/>
      <c r="BJ17" s="681"/>
      <c r="BL17" s="678"/>
      <c r="BM17" s="156" t="str">
        <f>BM9</f>
        <v xml:space="preserve">B </v>
      </c>
      <c r="BN17" s="157"/>
      <c r="BO17" s="156" t="str">
        <f>S17</f>
        <v>A</v>
      </c>
      <c r="BP17" s="157"/>
      <c r="BQ17" s="157"/>
      <c r="BR17" s="156" t="str">
        <f>BR15</f>
        <v>Um/A</v>
      </c>
      <c r="BS17" s="157"/>
      <c r="BT17" s="156" t="str">
        <f>BT15</f>
        <v>BmO</v>
      </c>
      <c r="BU17" s="157"/>
      <c r="BV17" s="681"/>
    </row>
    <row r="18" spans="2:74" ht="21" x14ac:dyDescent="0.25">
      <c r="B18" s="687"/>
      <c r="C18" s="676"/>
      <c r="D18" s="678"/>
      <c r="E18" s="158">
        <f>+Q18+AC18+AO18</f>
        <v>3394.7200000000003</v>
      </c>
      <c r="F18" s="153" t="s">
        <v>52</v>
      </c>
      <c r="G18" s="159">
        <f>'% Occupation'!E19</f>
        <v>196</v>
      </c>
      <c r="H18" s="153" t="s">
        <v>54</v>
      </c>
      <c r="I18" s="153" t="s">
        <v>55</v>
      </c>
      <c r="J18" s="160">
        <f>+V18+AH18+AT18</f>
        <v>2.1</v>
      </c>
      <c r="K18" s="153" t="s">
        <v>54</v>
      </c>
      <c r="L18" s="158">
        <f>E18/G18/J18</f>
        <v>8.2476190476190467</v>
      </c>
      <c r="M18" s="153" t="s">
        <v>58</v>
      </c>
      <c r="N18" s="681"/>
      <c r="P18" s="678"/>
      <c r="Q18" s="158">
        <f>+S18*(V18*X18)</f>
        <v>944.06666666666683</v>
      </c>
      <c r="R18" s="153" t="s">
        <v>52</v>
      </c>
      <c r="S18" s="159">
        <f>G18</f>
        <v>196</v>
      </c>
      <c r="T18" s="153" t="s">
        <v>54</v>
      </c>
      <c r="U18" s="304" t="s">
        <v>55</v>
      </c>
      <c r="V18" s="301">
        <f>'Calcul CmO et PmO'!L64</f>
        <v>1</v>
      </c>
      <c r="W18" s="304" t="s">
        <v>54</v>
      </c>
      <c r="X18" s="302">
        <f>'Calcul CmO et PmO'!F64</f>
        <v>4.8166666666666673</v>
      </c>
      <c r="Y18" s="304" t="s">
        <v>58</v>
      </c>
      <c r="Z18" s="681"/>
      <c r="AB18" s="678"/>
      <c r="AC18" s="158">
        <f>+AE18*(AH18*AJ18)</f>
        <v>1868.5333333333333</v>
      </c>
      <c r="AD18" s="153" t="s">
        <v>52</v>
      </c>
      <c r="AE18" s="159">
        <f>S18</f>
        <v>196</v>
      </c>
      <c r="AF18" s="153" t="s">
        <v>54</v>
      </c>
      <c r="AG18" s="153" t="s">
        <v>55</v>
      </c>
      <c r="AH18" s="301">
        <f>'Calcul CmO et PmO'!L79</f>
        <v>1</v>
      </c>
      <c r="AI18" s="304" t="s">
        <v>54</v>
      </c>
      <c r="AJ18" s="302">
        <f>'Calcul CmO et PmO'!F79</f>
        <v>9.5333333333333332</v>
      </c>
      <c r="AK18" s="153" t="s">
        <v>58</v>
      </c>
      <c r="AL18" s="681"/>
      <c r="AN18" s="678"/>
      <c r="AO18" s="158">
        <f>+AQ18*(AT18*AV18)</f>
        <v>582.12</v>
      </c>
      <c r="AP18" s="153" t="s">
        <v>52</v>
      </c>
      <c r="AQ18" s="159">
        <f>AE18</f>
        <v>196</v>
      </c>
      <c r="AR18" s="153" t="s">
        <v>54</v>
      </c>
      <c r="AS18" s="153" t="s">
        <v>55</v>
      </c>
      <c r="AT18" s="161">
        <v>0.1</v>
      </c>
      <c r="AU18" s="153" t="s">
        <v>54</v>
      </c>
      <c r="AV18" s="302">
        <f>'Calcul CmO, PmO, Etc.'!E28</f>
        <v>29.7</v>
      </c>
      <c r="AW18" s="153" t="s">
        <v>58</v>
      </c>
      <c r="AX18" s="681"/>
      <c r="AZ18" s="678"/>
      <c r="BA18" s="158">
        <f>+BC18*(BF18*BH18)</f>
        <v>0</v>
      </c>
      <c r="BB18" s="153" t="s">
        <v>52</v>
      </c>
      <c r="BC18" s="159">
        <f>G18</f>
        <v>196</v>
      </c>
      <c r="BD18" s="153" t="s">
        <v>54</v>
      </c>
      <c r="BE18" s="153" t="s">
        <v>55</v>
      </c>
      <c r="BF18" s="160">
        <f>J18</f>
        <v>2.1</v>
      </c>
      <c r="BG18" s="153" t="s">
        <v>54</v>
      </c>
      <c r="BH18" s="208">
        <v>0</v>
      </c>
      <c r="BI18" s="153" t="s">
        <v>58</v>
      </c>
      <c r="BJ18" s="681"/>
      <c r="BL18" s="678"/>
      <c r="BM18" s="158">
        <f>E18-BA18</f>
        <v>3394.7200000000003</v>
      </c>
      <c r="BN18" s="153" t="s">
        <v>52</v>
      </c>
      <c r="BO18" s="159">
        <f>S18</f>
        <v>196</v>
      </c>
      <c r="BP18" s="153" t="s">
        <v>54</v>
      </c>
      <c r="BQ18" s="153" t="s">
        <v>55</v>
      </c>
      <c r="BR18" s="160">
        <f>J18</f>
        <v>2.1</v>
      </c>
      <c r="BS18" s="153" t="s">
        <v>54</v>
      </c>
      <c r="BT18" s="158">
        <f>BM18/BO18/BR18</f>
        <v>8.2476190476190467</v>
      </c>
      <c r="BU18" s="153" t="s">
        <v>58</v>
      </c>
      <c r="BV18" s="681"/>
    </row>
    <row r="19" spans="2:74" ht="17" thickBot="1" x14ac:dyDescent="0.25">
      <c r="B19" s="687"/>
      <c r="C19" s="676"/>
      <c r="D19" s="679"/>
      <c r="E19" s="163"/>
      <c r="F19" s="163"/>
      <c r="G19" s="163"/>
      <c r="H19" s="163"/>
      <c r="I19" s="163"/>
      <c r="J19" s="163"/>
      <c r="K19" s="163"/>
      <c r="L19" s="163"/>
      <c r="M19" s="163"/>
      <c r="N19" s="682"/>
      <c r="P19" s="679"/>
      <c r="Q19" s="163"/>
      <c r="R19" s="163"/>
      <c r="S19" s="163"/>
      <c r="T19" s="163"/>
      <c r="U19" s="306"/>
      <c r="V19" s="306"/>
      <c r="W19" s="306"/>
      <c r="X19" s="306"/>
      <c r="Y19" s="306"/>
      <c r="Z19" s="682"/>
      <c r="AB19" s="679"/>
      <c r="AC19" s="163"/>
      <c r="AD19" s="163"/>
      <c r="AE19" s="163"/>
      <c r="AF19" s="163"/>
      <c r="AG19" s="163"/>
      <c r="AH19" s="306"/>
      <c r="AI19" s="306"/>
      <c r="AJ19" s="306"/>
      <c r="AK19" s="163"/>
      <c r="AL19" s="682"/>
      <c r="AN19" s="679"/>
      <c r="AO19" s="163"/>
      <c r="AP19" s="163"/>
      <c r="AQ19" s="163"/>
      <c r="AR19" s="163"/>
      <c r="AS19" s="163"/>
      <c r="AT19" s="163"/>
      <c r="AU19" s="163"/>
      <c r="AV19" s="412"/>
      <c r="AW19" s="163"/>
      <c r="AX19" s="682"/>
      <c r="AZ19" s="679"/>
      <c r="BA19" s="163"/>
      <c r="BB19" s="163"/>
      <c r="BC19" s="163"/>
      <c r="BD19" s="163"/>
      <c r="BE19" s="163"/>
      <c r="BF19" s="163"/>
      <c r="BG19" s="163"/>
      <c r="BH19" s="163"/>
      <c r="BI19" s="163"/>
      <c r="BJ19" s="682"/>
      <c r="BL19" s="679"/>
      <c r="BM19" s="163"/>
      <c r="BN19" s="163"/>
      <c r="BO19" s="163"/>
      <c r="BP19" s="163"/>
      <c r="BQ19" s="163"/>
      <c r="BR19" s="163"/>
      <c r="BS19" s="163"/>
      <c r="BT19" s="163"/>
      <c r="BU19" s="163"/>
      <c r="BV19" s="682"/>
    </row>
    <row r="20" spans="2:74" ht="5" customHeight="1" thickTop="1" thickBot="1" x14ac:dyDescent="0.2">
      <c r="B20" s="687"/>
      <c r="C20" s="150"/>
      <c r="U20" s="307"/>
      <c r="V20" s="307"/>
      <c r="W20" s="307"/>
      <c r="X20" s="307"/>
      <c r="Y20" s="307"/>
      <c r="AH20" s="307"/>
      <c r="AI20" s="307"/>
      <c r="AJ20" s="307"/>
      <c r="AV20" s="307"/>
    </row>
    <row r="21" spans="2:74" ht="17" thickTop="1" x14ac:dyDescent="0.2">
      <c r="B21" s="687"/>
      <c r="C21" s="676">
        <v>3</v>
      </c>
      <c r="D21" s="677" t="s">
        <v>49</v>
      </c>
      <c r="E21" s="151"/>
      <c r="F21" s="151"/>
      <c r="G21" s="210" t="str">
        <f>'Achalandage journalier'!F5</f>
        <v>Pér.03</v>
      </c>
      <c r="H21" s="151"/>
      <c r="I21" s="151"/>
      <c r="J21" s="151"/>
      <c r="K21" s="151"/>
      <c r="L21" s="151"/>
      <c r="M21" s="151"/>
      <c r="N21" s="680" t="s">
        <v>50</v>
      </c>
      <c r="P21" s="677" t="s">
        <v>49</v>
      </c>
      <c r="Q21" s="151"/>
      <c r="R21" s="151"/>
      <c r="S21" s="210" t="str">
        <f>G21</f>
        <v>Pér.03</v>
      </c>
      <c r="T21" s="151"/>
      <c r="U21" s="308"/>
      <c r="V21" s="308"/>
      <c r="W21" s="308"/>
      <c r="X21" s="308"/>
      <c r="Y21" s="308"/>
      <c r="Z21" s="680" t="s">
        <v>50</v>
      </c>
      <c r="AB21" s="677" t="s">
        <v>49</v>
      </c>
      <c r="AC21" s="151"/>
      <c r="AD21" s="151"/>
      <c r="AE21" s="210" t="str">
        <f>S21</f>
        <v>Pér.03</v>
      </c>
      <c r="AF21" s="151"/>
      <c r="AG21" s="151"/>
      <c r="AH21" s="308"/>
      <c r="AI21" s="308"/>
      <c r="AJ21" s="308"/>
      <c r="AK21" s="151"/>
      <c r="AL21" s="680" t="s">
        <v>50</v>
      </c>
      <c r="AN21" s="677" t="s">
        <v>49</v>
      </c>
      <c r="AO21" s="151"/>
      <c r="AP21" s="151"/>
      <c r="AQ21" s="210" t="str">
        <f>AE21</f>
        <v>Pér.03</v>
      </c>
      <c r="AR21" s="151"/>
      <c r="AS21" s="151"/>
      <c r="AT21" s="151"/>
      <c r="AU21" s="151"/>
      <c r="AV21" s="413"/>
      <c r="AW21" s="151"/>
      <c r="AX21" s="680" t="s">
        <v>50</v>
      </c>
      <c r="AZ21" s="677" t="s">
        <v>49</v>
      </c>
      <c r="BA21" s="151"/>
      <c r="BB21" s="151"/>
      <c r="BC21" s="210" t="str">
        <f>AQ21</f>
        <v>Pér.03</v>
      </c>
      <c r="BD21" s="151"/>
      <c r="BE21" s="151"/>
      <c r="BF21" s="151"/>
      <c r="BG21" s="151"/>
      <c r="BH21" s="151"/>
      <c r="BI21" s="151"/>
      <c r="BJ21" s="680" t="s">
        <v>50</v>
      </c>
      <c r="BL21" s="677" t="s">
        <v>49</v>
      </c>
      <c r="BM21" s="151"/>
      <c r="BN21" s="151"/>
      <c r="BO21" s="210" t="str">
        <f>BC21</f>
        <v>Pér.03</v>
      </c>
      <c r="BP21" s="151"/>
      <c r="BQ21" s="151"/>
      <c r="BR21" s="151"/>
      <c r="BS21" s="151"/>
      <c r="BT21" s="151"/>
      <c r="BU21" s="151"/>
      <c r="BV21" s="680" t="s">
        <v>50</v>
      </c>
    </row>
    <row r="22" spans="2:74" ht="16" x14ac:dyDescent="0.2">
      <c r="B22" s="687"/>
      <c r="C22" s="676"/>
      <c r="D22" s="678"/>
      <c r="E22" s="152"/>
      <c r="F22" s="152"/>
      <c r="G22" s="152"/>
      <c r="H22" s="152"/>
      <c r="I22" s="152"/>
      <c r="J22" s="152"/>
      <c r="K22" s="152"/>
      <c r="L22" s="152"/>
      <c r="M22" s="152"/>
      <c r="N22" s="681"/>
      <c r="P22" s="678"/>
      <c r="Q22" s="152"/>
      <c r="R22" s="152"/>
      <c r="S22" s="152"/>
      <c r="T22" s="152"/>
      <c r="U22" s="309"/>
      <c r="V22" s="309"/>
      <c r="W22" s="309"/>
      <c r="X22" s="309"/>
      <c r="Y22" s="309"/>
      <c r="Z22" s="681"/>
      <c r="AB22" s="678"/>
      <c r="AC22" s="152"/>
      <c r="AD22" s="152"/>
      <c r="AE22" s="152"/>
      <c r="AF22" s="152"/>
      <c r="AG22" s="152"/>
      <c r="AH22" s="309"/>
      <c r="AI22" s="309"/>
      <c r="AJ22" s="309"/>
      <c r="AK22" s="152"/>
      <c r="AL22" s="681"/>
      <c r="AN22" s="678"/>
      <c r="AO22" s="152"/>
      <c r="AP22" s="152"/>
      <c r="AQ22" s="152"/>
      <c r="AR22" s="152"/>
      <c r="AS22" s="152"/>
      <c r="AT22" s="152"/>
      <c r="AU22" s="152"/>
      <c r="AV22" s="414"/>
      <c r="AW22" s="152"/>
      <c r="AX22" s="681"/>
      <c r="AZ22" s="678"/>
      <c r="BA22" s="152"/>
      <c r="BB22" s="152"/>
      <c r="BC22" s="152"/>
      <c r="BD22" s="152"/>
      <c r="BE22" s="152"/>
      <c r="BF22" s="152"/>
      <c r="BG22" s="152"/>
      <c r="BH22" s="152"/>
      <c r="BI22" s="152"/>
      <c r="BJ22" s="681"/>
      <c r="BL22" s="678"/>
      <c r="BM22" s="152"/>
      <c r="BN22" s="152"/>
      <c r="BO22" s="152"/>
      <c r="BP22" s="152"/>
      <c r="BQ22" s="152"/>
      <c r="BR22" s="152"/>
      <c r="BS22" s="152"/>
      <c r="BT22" s="152"/>
      <c r="BU22" s="152"/>
      <c r="BV22" s="681"/>
    </row>
    <row r="23" spans="2:74" ht="21" x14ac:dyDescent="0.25">
      <c r="B23" s="687"/>
      <c r="C23" s="676"/>
      <c r="D23" s="678"/>
      <c r="E23" s="153" t="str">
        <f>E15</f>
        <v>Demande mensuelle</v>
      </c>
      <c r="F23" s="153" t="s">
        <v>52</v>
      </c>
      <c r="G23" s="153" t="str">
        <f>+G15</f>
        <v>Achalandage mensuel</v>
      </c>
      <c r="H23" s="153" t="s">
        <v>54</v>
      </c>
      <c r="I23" s="153" t="s">
        <v>55</v>
      </c>
      <c r="J23" s="153" t="str">
        <f>J15</f>
        <v>Um/A</v>
      </c>
      <c r="K23" s="153" t="s">
        <v>54</v>
      </c>
      <c r="L23" s="153" t="str">
        <f>L15</f>
        <v>PmO</v>
      </c>
      <c r="M23" s="153" t="s">
        <v>58</v>
      </c>
      <c r="N23" s="681"/>
      <c r="P23" s="678"/>
      <c r="Q23" s="153" t="str">
        <f>Q15</f>
        <v>Demande mensuelle</v>
      </c>
      <c r="R23" s="153" t="s">
        <v>52</v>
      </c>
      <c r="S23" s="153" t="str">
        <f>+S15</f>
        <v>Achalandage mensuel</v>
      </c>
      <c r="T23" s="153" t="s">
        <v>54</v>
      </c>
      <c r="U23" s="304" t="s">
        <v>55</v>
      </c>
      <c r="V23" s="304" t="str">
        <f>V15</f>
        <v>Um/A</v>
      </c>
      <c r="W23" s="304" t="s">
        <v>54</v>
      </c>
      <c r="X23" s="304" t="str">
        <f>X15</f>
        <v>PmO</v>
      </c>
      <c r="Y23" s="304" t="s">
        <v>58</v>
      </c>
      <c r="Z23" s="681"/>
      <c r="AB23" s="678"/>
      <c r="AC23" s="153" t="str">
        <f>AC15</f>
        <v>Demande mensuelle</v>
      </c>
      <c r="AD23" s="153" t="s">
        <v>52</v>
      </c>
      <c r="AE23" s="153" t="str">
        <f>AE15</f>
        <v>Achalandage mensuel</v>
      </c>
      <c r="AF23" s="153" t="s">
        <v>54</v>
      </c>
      <c r="AG23" s="153" t="s">
        <v>55</v>
      </c>
      <c r="AH23" s="304" t="str">
        <f>AH15</f>
        <v>Um/A</v>
      </c>
      <c r="AI23" s="304" t="s">
        <v>54</v>
      </c>
      <c r="AJ23" s="304" t="str">
        <f>AJ15</f>
        <v>PmO</v>
      </c>
      <c r="AK23" s="153" t="s">
        <v>58</v>
      </c>
      <c r="AL23" s="681"/>
      <c r="AN23" s="678"/>
      <c r="AO23" s="153" t="str">
        <f>AO15</f>
        <v>Demande mensuelle</v>
      </c>
      <c r="AP23" s="153" t="s">
        <v>52</v>
      </c>
      <c r="AQ23" s="153" t="str">
        <f>AQ15</f>
        <v>Achalandage mensuel</v>
      </c>
      <c r="AR23" s="153" t="s">
        <v>54</v>
      </c>
      <c r="AS23" s="153" t="s">
        <v>55</v>
      </c>
      <c r="AT23" s="153" t="str">
        <f>AT15</f>
        <v>Um/A</v>
      </c>
      <c r="AU23" s="153" t="s">
        <v>54</v>
      </c>
      <c r="AV23" s="304" t="str">
        <f>AV15</f>
        <v>PmO</v>
      </c>
      <c r="AW23" s="153" t="s">
        <v>58</v>
      </c>
      <c r="AX23" s="681"/>
      <c r="AZ23" s="678"/>
      <c r="BA23" s="153" t="str">
        <f>BA15</f>
        <v>Coût mensuel</v>
      </c>
      <c r="BB23" s="153" t="s">
        <v>52</v>
      </c>
      <c r="BC23" s="153" t="str">
        <f>G23</f>
        <v>Achalandage mensuel</v>
      </c>
      <c r="BD23" s="153" t="s">
        <v>54</v>
      </c>
      <c r="BE23" s="153" t="s">
        <v>55</v>
      </c>
      <c r="BF23" s="153" t="str">
        <f>J23</f>
        <v>Um/A</v>
      </c>
      <c r="BG23" s="153" t="s">
        <v>54</v>
      </c>
      <c r="BH23" s="153" t="str">
        <f>BH15</f>
        <v>CmO</v>
      </c>
      <c r="BI23" s="153" t="s">
        <v>58</v>
      </c>
      <c r="BJ23" s="681"/>
      <c r="BL23" s="678"/>
      <c r="BM23" s="153" t="str">
        <f>BM15</f>
        <v>Bénéfice mensuel</v>
      </c>
      <c r="BN23" s="153" t="s">
        <v>52</v>
      </c>
      <c r="BO23" s="153" t="str">
        <f>S23</f>
        <v>Achalandage mensuel</v>
      </c>
      <c r="BP23" s="153" t="s">
        <v>54</v>
      </c>
      <c r="BQ23" s="153" t="s">
        <v>55</v>
      </c>
      <c r="BR23" s="153" t="str">
        <f>V23</f>
        <v>Um/A</v>
      </c>
      <c r="BS23" s="153" t="s">
        <v>54</v>
      </c>
      <c r="BT23" s="153" t="str">
        <f>BT15</f>
        <v>BmO</v>
      </c>
      <c r="BU23" s="153" t="s">
        <v>58</v>
      </c>
      <c r="BV23" s="681"/>
    </row>
    <row r="24" spans="2:74" ht="19" x14ac:dyDescent="0.25">
      <c r="B24" s="687"/>
      <c r="C24" s="676"/>
      <c r="D24" s="678"/>
      <c r="E24" s="154" t="s">
        <v>1</v>
      </c>
      <c r="F24" s="155"/>
      <c r="G24" s="154"/>
      <c r="H24" s="155"/>
      <c r="I24" s="155"/>
      <c r="J24" s="155"/>
      <c r="K24" s="155"/>
      <c r="L24" s="155"/>
      <c r="M24" s="155"/>
      <c r="N24" s="681"/>
      <c r="P24" s="678"/>
      <c r="Q24" s="154" t="s">
        <v>1</v>
      </c>
      <c r="R24" s="155"/>
      <c r="S24" s="154"/>
      <c r="T24" s="155"/>
      <c r="U24" s="310"/>
      <c r="V24" s="310"/>
      <c r="W24" s="310"/>
      <c r="X24" s="310"/>
      <c r="Y24" s="310"/>
      <c r="Z24" s="681"/>
      <c r="AB24" s="678"/>
      <c r="AC24" s="154" t="s">
        <v>1</v>
      </c>
      <c r="AD24" s="155"/>
      <c r="AE24" s="154"/>
      <c r="AF24" s="155"/>
      <c r="AG24" s="155"/>
      <c r="AH24" s="310"/>
      <c r="AI24" s="310"/>
      <c r="AJ24" s="310"/>
      <c r="AK24" s="155"/>
      <c r="AL24" s="681"/>
      <c r="AN24" s="678"/>
      <c r="AO24" s="154" t="s">
        <v>1</v>
      </c>
      <c r="AP24" s="155"/>
      <c r="AQ24" s="154"/>
      <c r="AR24" s="155"/>
      <c r="AS24" s="155"/>
      <c r="AT24" s="155"/>
      <c r="AU24" s="155"/>
      <c r="AV24" s="310"/>
      <c r="AW24" s="155"/>
      <c r="AX24" s="681"/>
      <c r="AZ24" s="678"/>
      <c r="BA24" s="154" t="s">
        <v>1</v>
      </c>
      <c r="BB24" s="155"/>
      <c r="BC24" s="154"/>
      <c r="BD24" s="155"/>
      <c r="BE24" s="155"/>
      <c r="BF24" s="155"/>
      <c r="BG24" s="155"/>
      <c r="BH24" s="155"/>
      <c r="BI24" s="155"/>
      <c r="BJ24" s="681"/>
      <c r="BL24" s="678"/>
      <c r="BM24" s="154" t="s">
        <v>1</v>
      </c>
      <c r="BN24" s="155"/>
      <c r="BO24" s="154"/>
      <c r="BP24" s="155"/>
      <c r="BQ24" s="155"/>
      <c r="BR24" s="155"/>
      <c r="BS24" s="155"/>
      <c r="BT24" s="155"/>
      <c r="BU24" s="155"/>
      <c r="BV24" s="681"/>
    </row>
    <row r="25" spans="2:74" ht="26" x14ac:dyDescent="0.3">
      <c r="B25" s="687"/>
      <c r="C25" s="676"/>
      <c r="D25" s="678"/>
      <c r="E25" s="156" t="str">
        <f>E17</f>
        <v>D</v>
      </c>
      <c r="F25" s="157"/>
      <c r="G25" s="156" t="str">
        <f>G17</f>
        <v>A</v>
      </c>
      <c r="H25" s="157"/>
      <c r="I25" s="157"/>
      <c r="J25" s="156" t="str">
        <f>+J23</f>
        <v>Um/A</v>
      </c>
      <c r="K25" s="157"/>
      <c r="L25" s="156" t="str">
        <f>+L23</f>
        <v>PmO</v>
      </c>
      <c r="M25" s="157"/>
      <c r="N25" s="681"/>
      <c r="P25" s="678"/>
      <c r="Q25" s="156" t="str">
        <f>Q17</f>
        <v>D</v>
      </c>
      <c r="R25" s="157"/>
      <c r="S25" s="156" t="str">
        <f>S17</f>
        <v>A</v>
      </c>
      <c r="T25" s="157"/>
      <c r="U25" s="305"/>
      <c r="V25" s="303" t="str">
        <f>+V23</f>
        <v>Um/A</v>
      </c>
      <c r="W25" s="305"/>
      <c r="X25" s="303" t="str">
        <f>+X23</f>
        <v>PmO</v>
      </c>
      <c r="Y25" s="305"/>
      <c r="Z25" s="681"/>
      <c r="AB25" s="678"/>
      <c r="AC25" s="156" t="str">
        <f>AC17</f>
        <v>D</v>
      </c>
      <c r="AD25" s="157"/>
      <c r="AE25" s="156" t="str">
        <f>AE17</f>
        <v>A</v>
      </c>
      <c r="AF25" s="157"/>
      <c r="AG25" s="157"/>
      <c r="AH25" s="303" t="str">
        <f>+AH23</f>
        <v>Um/A</v>
      </c>
      <c r="AI25" s="305"/>
      <c r="AJ25" s="303" t="str">
        <f>+AJ23</f>
        <v>PmO</v>
      </c>
      <c r="AK25" s="157"/>
      <c r="AL25" s="681"/>
      <c r="AN25" s="678"/>
      <c r="AO25" s="156" t="str">
        <f>AO17</f>
        <v>D</v>
      </c>
      <c r="AP25" s="157"/>
      <c r="AQ25" s="156" t="str">
        <f>AQ17</f>
        <v>A</v>
      </c>
      <c r="AR25" s="157"/>
      <c r="AS25" s="157"/>
      <c r="AT25" s="156" t="str">
        <f>+AT23</f>
        <v>Um/A</v>
      </c>
      <c r="AU25" s="157"/>
      <c r="AV25" s="303" t="str">
        <f>+AV23</f>
        <v>PmO</v>
      </c>
      <c r="AW25" s="157"/>
      <c r="AX25" s="681"/>
      <c r="AZ25" s="678"/>
      <c r="BA25" s="156" t="str">
        <f>BA17</f>
        <v xml:space="preserve">C </v>
      </c>
      <c r="BB25" s="157"/>
      <c r="BC25" s="156" t="str">
        <f>G25</f>
        <v>A</v>
      </c>
      <c r="BD25" s="157"/>
      <c r="BE25" s="157"/>
      <c r="BF25" s="156" t="str">
        <f>BF23</f>
        <v>Um/A</v>
      </c>
      <c r="BG25" s="157"/>
      <c r="BH25" s="156" t="str">
        <f>BH23</f>
        <v>CmO</v>
      </c>
      <c r="BI25" s="157"/>
      <c r="BJ25" s="681"/>
      <c r="BL25" s="678"/>
      <c r="BM25" s="156" t="str">
        <f>BM17</f>
        <v xml:space="preserve">B </v>
      </c>
      <c r="BN25" s="157"/>
      <c r="BO25" s="156" t="str">
        <f>S25</f>
        <v>A</v>
      </c>
      <c r="BP25" s="157"/>
      <c r="BQ25" s="157"/>
      <c r="BR25" s="156" t="str">
        <f>BR23</f>
        <v>Um/A</v>
      </c>
      <c r="BS25" s="157"/>
      <c r="BT25" s="156" t="str">
        <f>BT23</f>
        <v>BmO</v>
      </c>
      <c r="BU25" s="157"/>
      <c r="BV25" s="681"/>
    </row>
    <row r="26" spans="2:74" ht="21" x14ac:dyDescent="0.25">
      <c r="B26" s="687"/>
      <c r="C26" s="676"/>
      <c r="D26" s="678"/>
      <c r="E26" s="158">
        <f>+Q26+AC26+AO26</f>
        <v>3394.7200000000003</v>
      </c>
      <c r="F26" s="153" t="s">
        <v>52</v>
      </c>
      <c r="G26" s="159">
        <f>'% Occupation'!F19</f>
        <v>196</v>
      </c>
      <c r="H26" s="153" t="s">
        <v>54</v>
      </c>
      <c r="I26" s="153" t="s">
        <v>55</v>
      </c>
      <c r="J26" s="160">
        <f>+V26+AH26+AT26</f>
        <v>2.1</v>
      </c>
      <c r="K26" s="153" t="s">
        <v>54</v>
      </c>
      <c r="L26" s="158">
        <f>E26/G26/J26</f>
        <v>8.2476190476190467</v>
      </c>
      <c r="M26" s="153" t="s">
        <v>58</v>
      </c>
      <c r="N26" s="681"/>
      <c r="P26" s="678"/>
      <c r="Q26" s="158">
        <f>+S26*(V26*X26)</f>
        <v>944.06666666666683</v>
      </c>
      <c r="R26" s="153" t="s">
        <v>52</v>
      </c>
      <c r="S26" s="159">
        <f>G26</f>
        <v>196</v>
      </c>
      <c r="T26" s="153" t="s">
        <v>54</v>
      </c>
      <c r="U26" s="304" t="s">
        <v>55</v>
      </c>
      <c r="V26" s="301">
        <f>'Calcul CmO et PmO'!L107</f>
        <v>1</v>
      </c>
      <c r="W26" s="304" t="s">
        <v>54</v>
      </c>
      <c r="X26" s="302">
        <f>'Calcul CmO et PmO'!F107</f>
        <v>4.8166666666666673</v>
      </c>
      <c r="Y26" s="304" t="s">
        <v>58</v>
      </c>
      <c r="Z26" s="681"/>
      <c r="AB26" s="678"/>
      <c r="AC26" s="158">
        <f>+AE26*(AH26*AJ26)</f>
        <v>1868.5333333333333</v>
      </c>
      <c r="AD26" s="153" t="s">
        <v>52</v>
      </c>
      <c r="AE26" s="159">
        <f>S26</f>
        <v>196</v>
      </c>
      <c r="AF26" s="153" t="s">
        <v>54</v>
      </c>
      <c r="AG26" s="153" t="s">
        <v>55</v>
      </c>
      <c r="AH26" s="301">
        <f>'Calcul CmO et PmO'!L122</f>
        <v>1</v>
      </c>
      <c r="AI26" s="304" t="s">
        <v>54</v>
      </c>
      <c r="AJ26" s="302">
        <f>'Calcul CmO et PmO'!F122</f>
        <v>9.5333333333333332</v>
      </c>
      <c r="AK26" s="153" t="s">
        <v>58</v>
      </c>
      <c r="AL26" s="681"/>
      <c r="AN26" s="678"/>
      <c r="AO26" s="158">
        <f>+AQ26*(AT26*AV26)</f>
        <v>582.12</v>
      </c>
      <c r="AP26" s="153" t="s">
        <v>52</v>
      </c>
      <c r="AQ26" s="159">
        <f>AE26</f>
        <v>196</v>
      </c>
      <c r="AR26" s="153" t="s">
        <v>54</v>
      </c>
      <c r="AS26" s="153" t="s">
        <v>55</v>
      </c>
      <c r="AT26" s="161">
        <v>0.1</v>
      </c>
      <c r="AU26" s="153" t="s">
        <v>54</v>
      </c>
      <c r="AV26" s="302">
        <f>'Calcul CmO, PmO, Etc.'!E28</f>
        <v>29.7</v>
      </c>
      <c r="AW26" s="153" t="s">
        <v>58</v>
      </c>
      <c r="AX26" s="681"/>
      <c r="AZ26" s="678"/>
      <c r="BA26" s="158">
        <f>+BC26*(BF26*BH26)</f>
        <v>0</v>
      </c>
      <c r="BB26" s="153" t="s">
        <v>52</v>
      </c>
      <c r="BC26" s="159">
        <f>G26</f>
        <v>196</v>
      </c>
      <c r="BD26" s="153" t="s">
        <v>54</v>
      </c>
      <c r="BE26" s="153" t="s">
        <v>55</v>
      </c>
      <c r="BF26" s="160">
        <f>J26</f>
        <v>2.1</v>
      </c>
      <c r="BG26" s="153" t="s">
        <v>54</v>
      </c>
      <c r="BH26" s="208">
        <v>0</v>
      </c>
      <c r="BI26" s="153" t="s">
        <v>58</v>
      </c>
      <c r="BJ26" s="681"/>
      <c r="BL26" s="678"/>
      <c r="BM26" s="158">
        <f>E26-BA26</f>
        <v>3394.7200000000003</v>
      </c>
      <c r="BN26" s="153" t="s">
        <v>52</v>
      </c>
      <c r="BO26" s="159">
        <f>S26</f>
        <v>196</v>
      </c>
      <c r="BP26" s="153" t="s">
        <v>54</v>
      </c>
      <c r="BQ26" s="153" t="s">
        <v>55</v>
      </c>
      <c r="BR26" s="160">
        <f>J26</f>
        <v>2.1</v>
      </c>
      <c r="BS26" s="153" t="s">
        <v>54</v>
      </c>
      <c r="BT26" s="158">
        <f>BM26/BO26/BR26</f>
        <v>8.2476190476190467</v>
      </c>
      <c r="BU26" s="153" t="s">
        <v>58</v>
      </c>
      <c r="BV26" s="681"/>
    </row>
    <row r="27" spans="2:74" ht="17" thickBot="1" x14ac:dyDescent="0.25">
      <c r="B27" s="688"/>
      <c r="C27" s="676"/>
      <c r="D27" s="679"/>
      <c r="E27" s="163"/>
      <c r="F27" s="163"/>
      <c r="G27" s="163"/>
      <c r="H27" s="163"/>
      <c r="I27" s="163"/>
      <c r="J27" s="163"/>
      <c r="K27" s="163"/>
      <c r="L27" s="163"/>
      <c r="M27" s="163"/>
      <c r="N27" s="682"/>
      <c r="P27" s="679"/>
      <c r="Q27" s="163"/>
      <c r="R27" s="163"/>
      <c r="S27" s="163"/>
      <c r="T27" s="163"/>
      <c r="U27" s="306"/>
      <c r="V27" s="306"/>
      <c r="W27" s="306"/>
      <c r="X27" s="306"/>
      <c r="Y27" s="306"/>
      <c r="Z27" s="682"/>
      <c r="AB27" s="679"/>
      <c r="AC27" s="163"/>
      <c r="AD27" s="163"/>
      <c r="AE27" s="163"/>
      <c r="AF27" s="163"/>
      <c r="AG27" s="163"/>
      <c r="AH27" s="306"/>
      <c r="AI27" s="306"/>
      <c r="AJ27" s="306"/>
      <c r="AK27" s="163"/>
      <c r="AL27" s="682"/>
      <c r="AN27" s="679"/>
      <c r="AO27" s="163"/>
      <c r="AP27" s="163"/>
      <c r="AQ27" s="163"/>
      <c r="AR27" s="163"/>
      <c r="AS27" s="163"/>
      <c r="AT27" s="163"/>
      <c r="AU27" s="163"/>
      <c r="AV27" s="412"/>
      <c r="AW27" s="163"/>
      <c r="AX27" s="682"/>
      <c r="AZ27" s="679"/>
      <c r="BA27" s="163"/>
      <c r="BB27" s="163"/>
      <c r="BC27" s="163"/>
      <c r="BD27" s="163"/>
      <c r="BE27" s="163"/>
      <c r="BF27" s="163"/>
      <c r="BG27" s="163"/>
      <c r="BH27" s="163"/>
      <c r="BI27" s="163"/>
      <c r="BJ27" s="682"/>
      <c r="BL27" s="679"/>
      <c r="BM27" s="163"/>
      <c r="BN27" s="163"/>
      <c r="BO27" s="163"/>
      <c r="BP27" s="163"/>
      <c r="BQ27" s="163"/>
      <c r="BR27" s="163"/>
      <c r="BS27" s="163"/>
      <c r="BT27" s="163"/>
      <c r="BU27" s="163"/>
      <c r="BV27" s="682"/>
    </row>
    <row r="28" spans="2:74" ht="10" customHeight="1" thickBot="1" x14ac:dyDescent="0.25">
      <c r="C28" s="150"/>
      <c r="P28" s="164" t="s">
        <v>1</v>
      </c>
      <c r="AB28" s="164" t="s">
        <v>1</v>
      </c>
      <c r="AH28" s="307"/>
      <c r="AI28" s="307"/>
      <c r="AJ28" s="307"/>
      <c r="AN28" s="164" t="s">
        <v>1</v>
      </c>
      <c r="AV28" s="307"/>
    </row>
    <row r="29" spans="2:74" ht="17" thickTop="1" x14ac:dyDescent="0.2">
      <c r="B29" s="683" t="s">
        <v>1</v>
      </c>
      <c r="C29" s="676">
        <v>4</v>
      </c>
      <c r="D29" s="667" t="s">
        <v>49</v>
      </c>
      <c r="E29" s="165"/>
      <c r="F29" s="165"/>
      <c r="G29" s="211" t="str">
        <f>'Achalandage journalier'!G5</f>
        <v>Pér.04</v>
      </c>
      <c r="H29" s="165"/>
      <c r="I29" s="165"/>
      <c r="J29" s="165"/>
      <c r="K29" s="165"/>
      <c r="L29" s="165"/>
      <c r="M29" s="165"/>
      <c r="N29" s="664" t="s">
        <v>50</v>
      </c>
      <c r="P29" s="667" t="s">
        <v>49</v>
      </c>
      <c r="Q29" s="165"/>
      <c r="R29" s="165"/>
      <c r="S29" s="211" t="str">
        <f>G29</f>
        <v>Pér.04</v>
      </c>
      <c r="T29" s="165"/>
      <c r="U29" s="165"/>
      <c r="V29" s="165"/>
      <c r="W29" s="165"/>
      <c r="X29" s="165"/>
      <c r="Y29" s="165"/>
      <c r="Z29" s="664" t="s">
        <v>50</v>
      </c>
      <c r="AB29" s="667" t="s">
        <v>49</v>
      </c>
      <c r="AC29" s="165"/>
      <c r="AD29" s="165"/>
      <c r="AE29" s="211" t="str">
        <f>S29</f>
        <v>Pér.04</v>
      </c>
      <c r="AF29" s="165"/>
      <c r="AG29" s="165"/>
      <c r="AH29" s="320"/>
      <c r="AI29" s="320"/>
      <c r="AJ29" s="320"/>
      <c r="AK29" s="165"/>
      <c r="AL29" s="664" t="s">
        <v>50</v>
      </c>
      <c r="AN29" s="667" t="s">
        <v>49</v>
      </c>
      <c r="AO29" s="165"/>
      <c r="AP29" s="165"/>
      <c r="AQ29" s="211" t="str">
        <f>AE29</f>
        <v>Pér.04</v>
      </c>
      <c r="AR29" s="165"/>
      <c r="AS29" s="165"/>
      <c r="AT29" s="165"/>
      <c r="AU29" s="165"/>
      <c r="AV29" s="415"/>
      <c r="AW29" s="165"/>
      <c r="AX29" s="664" t="s">
        <v>50</v>
      </c>
      <c r="AZ29" s="667" t="s">
        <v>49</v>
      </c>
      <c r="BA29" s="165"/>
      <c r="BB29" s="165"/>
      <c r="BC29" s="211" t="str">
        <f>AQ29</f>
        <v>Pér.04</v>
      </c>
      <c r="BD29" s="165"/>
      <c r="BE29" s="165"/>
      <c r="BF29" s="165"/>
      <c r="BG29" s="165"/>
      <c r="BH29" s="165"/>
      <c r="BI29" s="165"/>
      <c r="BJ29" s="664" t="s">
        <v>50</v>
      </c>
      <c r="BL29" s="670" t="s">
        <v>49</v>
      </c>
      <c r="BM29" s="165"/>
      <c r="BN29" s="165"/>
      <c r="BO29" s="211" t="str">
        <f>BC29</f>
        <v>Pér.04</v>
      </c>
      <c r="BP29" s="165"/>
      <c r="BQ29" s="165"/>
      <c r="BR29" s="165"/>
      <c r="BS29" s="165"/>
      <c r="BT29" s="165"/>
      <c r="BU29" s="165"/>
      <c r="BV29" s="664" t="s">
        <v>50</v>
      </c>
    </row>
    <row r="30" spans="2:74" ht="16" x14ac:dyDescent="0.2">
      <c r="B30" s="684"/>
      <c r="C30" s="676"/>
      <c r="D30" s="668"/>
      <c r="E30" s="166"/>
      <c r="F30" s="166"/>
      <c r="G30" s="166"/>
      <c r="H30" s="166"/>
      <c r="I30" s="166"/>
      <c r="J30" s="166"/>
      <c r="K30" s="166"/>
      <c r="L30" s="166"/>
      <c r="M30" s="166"/>
      <c r="N30" s="665"/>
      <c r="P30" s="668"/>
      <c r="Q30" s="166"/>
      <c r="R30" s="166"/>
      <c r="S30" s="166"/>
      <c r="T30" s="166"/>
      <c r="U30" s="166"/>
      <c r="V30" s="166"/>
      <c r="W30" s="166"/>
      <c r="X30" s="166"/>
      <c r="Y30" s="166"/>
      <c r="Z30" s="665"/>
      <c r="AB30" s="668"/>
      <c r="AC30" s="166"/>
      <c r="AD30" s="166"/>
      <c r="AE30" s="166"/>
      <c r="AF30" s="166"/>
      <c r="AG30" s="166"/>
      <c r="AH30" s="321"/>
      <c r="AI30" s="321"/>
      <c r="AJ30" s="321"/>
      <c r="AK30" s="166"/>
      <c r="AL30" s="665"/>
      <c r="AN30" s="668"/>
      <c r="AO30" s="166"/>
      <c r="AP30" s="166"/>
      <c r="AQ30" s="166"/>
      <c r="AR30" s="166"/>
      <c r="AS30" s="166"/>
      <c r="AT30" s="166"/>
      <c r="AU30" s="166"/>
      <c r="AV30" s="416"/>
      <c r="AW30" s="166"/>
      <c r="AX30" s="665"/>
      <c r="AZ30" s="668"/>
      <c r="BA30" s="166"/>
      <c r="BB30" s="166"/>
      <c r="BC30" s="166"/>
      <c r="BD30" s="166"/>
      <c r="BE30" s="166"/>
      <c r="BF30" s="166"/>
      <c r="BG30" s="166"/>
      <c r="BH30" s="166"/>
      <c r="BI30" s="166"/>
      <c r="BJ30" s="665"/>
      <c r="BL30" s="671"/>
      <c r="BM30" s="166"/>
      <c r="BN30" s="166"/>
      <c r="BO30" s="166"/>
      <c r="BP30" s="166"/>
      <c r="BQ30" s="166"/>
      <c r="BR30" s="166"/>
      <c r="BS30" s="166"/>
      <c r="BT30" s="166"/>
      <c r="BU30" s="166"/>
      <c r="BV30" s="665"/>
    </row>
    <row r="31" spans="2:74" ht="21" x14ac:dyDescent="0.25">
      <c r="B31" s="684"/>
      <c r="C31" s="676"/>
      <c r="D31" s="668"/>
      <c r="E31" s="167" t="str">
        <f>E23</f>
        <v>Demande mensuelle</v>
      </c>
      <c r="F31" s="167" t="s">
        <v>52</v>
      </c>
      <c r="G31" s="167" t="str">
        <f>G23</f>
        <v>Achalandage mensuel</v>
      </c>
      <c r="H31" s="167" t="s">
        <v>54</v>
      </c>
      <c r="I31" s="167" t="s">
        <v>55</v>
      </c>
      <c r="J31" s="167" t="str">
        <f>J23</f>
        <v>Um/A</v>
      </c>
      <c r="K31" s="167" t="s">
        <v>54</v>
      </c>
      <c r="L31" s="167" t="str">
        <f>L23</f>
        <v>PmO</v>
      </c>
      <c r="M31" s="167" t="s">
        <v>58</v>
      </c>
      <c r="N31" s="665"/>
      <c r="P31" s="668"/>
      <c r="Q31" s="167" t="str">
        <f>Q23</f>
        <v>Demande mensuelle</v>
      </c>
      <c r="R31" s="167" t="s">
        <v>52</v>
      </c>
      <c r="S31" s="167" t="str">
        <f>S23</f>
        <v>Achalandage mensuel</v>
      </c>
      <c r="T31" s="167" t="s">
        <v>54</v>
      </c>
      <c r="U31" s="167" t="s">
        <v>55</v>
      </c>
      <c r="V31" s="311" t="str">
        <f>V23</f>
        <v>Um/A</v>
      </c>
      <c r="W31" s="311" t="s">
        <v>54</v>
      </c>
      <c r="X31" s="311" t="str">
        <f>X23</f>
        <v>PmO</v>
      </c>
      <c r="Y31" s="167" t="s">
        <v>58</v>
      </c>
      <c r="Z31" s="665"/>
      <c r="AB31" s="668"/>
      <c r="AC31" s="167" t="str">
        <f>AC23</f>
        <v>Demande mensuelle</v>
      </c>
      <c r="AD31" s="167" t="s">
        <v>52</v>
      </c>
      <c r="AE31" s="167" t="str">
        <f>AE23</f>
        <v>Achalandage mensuel</v>
      </c>
      <c r="AF31" s="167" t="s">
        <v>54</v>
      </c>
      <c r="AG31" s="167" t="s">
        <v>55</v>
      </c>
      <c r="AH31" s="311" t="str">
        <f>AH23</f>
        <v>Um/A</v>
      </c>
      <c r="AI31" s="311" t="s">
        <v>54</v>
      </c>
      <c r="AJ31" s="311" t="str">
        <f>AJ23</f>
        <v>PmO</v>
      </c>
      <c r="AK31" s="167" t="s">
        <v>58</v>
      </c>
      <c r="AL31" s="665"/>
      <c r="AN31" s="668"/>
      <c r="AO31" s="167" t="str">
        <f>AO23</f>
        <v>Demande mensuelle</v>
      </c>
      <c r="AP31" s="167" t="s">
        <v>52</v>
      </c>
      <c r="AQ31" s="167" t="str">
        <f>AQ23</f>
        <v>Achalandage mensuel</v>
      </c>
      <c r="AR31" s="167" t="s">
        <v>54</v>
      </c>
      <c r="AS31" s="167" t="s">
        <v>55</v>
      </c>
      <c r="AT31" s="167" t="str">
        <f>AT23</f>
        <v>Um/A</v>
      </c>
      <c r="AU31" s="167" t="s">
        <v>54</v>
      </c>
      <c r="AV31" s="311" t="str">
        <f>AV23</f>
        <v>PmO</v>
      </c>
      <c r="AW31" s="167" t="s">
        <v>58</v>
      </c>
      <c r="AX31" s="665"/>
      <c r="AZ31" s="668"/>
      <c r="BA31" s="167" t="str">
        <f>BA23</f>
        <v>Coût mensuel</v>
      </c>
      <c r="BB31" s="167" t="s">
        <v>52</v>
      </c>
      <c r="BC31" s="167" t="str">
        <f>BC23</f>
        <v>Achalandage mensuel</v>
      </c>
      <c r="BD31" s="167" t="s">
        <v>54</v>
      </c>
      <c r="BE31" s="167" t="s">
        <v>55</v>
      </c>
      <c r="BF31" s="167" t="str">
        <f>BF23</f>
        <v>Um/A</v>
      </c>
      <c r="BG31" s="167" t="s">
        <v>54</v>
      </c>
      <c r="BH31" s="167" t="str">
        <f>BH23</f>
        <v>CmO</v>
      </c>
      <c r="BI31" s="167" t="s">
        <v>58</v>
      </c>
      <c r="BJ31" s="665"/>
      <c r="BL31" s="671"/>
      <c r="BM31" s="167" t="str">
        <f>BM23</f>
        <v>Bénéfice mensuel</v>
      </c>
      <c r="BN31" s="167" t="s">
        <v>52</v>
      </c>
      <c r="BO31" s="167" t="str">
        <f>BO23</f>
        <v>Achalandage mensuel</v>
      </c>
      <c r="BP31" s="167" t="s">
        <v>54</v>
      </c>
      <c r="BQ31" s="167" t="s">
        <v>55</v>
      </c>
      <c r="BR31" s="167" t="str">
        <f>BR23</f>
        <v>Um/A</v>
      </c>
      <c r="BS31" s="167" t="s">
        <v>54</v>
      </c>
      <c r="BT31" s="167" t="str">
        <f>BT23</f>
        <v>BmO</v>
      </c>
      <c r="BU31" s="167" t="s">
        <v>58</v>
      </c>
      <c r="BV31" s="665"/>
    </row>
    <row r="32" spans="2:74" ht="19" x14ac:dyDescent="0.25">
      <c r="B32" s="684"/>
      <c r="C32" s="676"/>
      <c r="D32" s="668"/>
      <c r="E32" s="168" t="s">
        <v>1</v>
      </c>
      <c r="F32" s="169"/>
      <c r="G32" s="168"/>
      <c r="H32" s="169"/>
      <c r="I32" s="169"/>
      <c r="J32" s="169"/>
      <c r="K32" s="169"/>
      <c r="L32" s="169"/>
      <c r="M32" s="169"/>
      <c r="N32" s="665"/>
      <c r="P32" s="668"/>
      <c r="Q32" s="168" t="s">
        <v>1</v>
      </c>
      <c r="R32" s="169"/>
      <c r="S32" s="168"/>
      <c r="T32" s="169"/>
      <c r="U32" s="169"/>
      <c r="V32" s="317"/>
      <c r="W32" s="317"/>
      <c r="X32" s="317"/>
      <c r="Y32" s="169"/>
      <c r="Z32" s="665"/>
      <c r="AB32" s="668"/>
      <c r="AC32" s="168" t="s">
        <v>1</v>
      </c>
      <c r="AD32" s="169"/>
      <c r="AE32" s="168"/>
      <c r="AF32" s="169"/>
      <c r="AG32" s="169"/>
      <c r="AH32" s="317"/>
      <c r="AI32" s="317"/>
      <c r="AJ32" s="317"/>
      <c r="AK32" s="169"/>
      <c r="AL32" s="665"/>
      <c r="AN32" s="668"/>
      <c r="AO32" s="168" t="s">
        <v>1</v>
      </c>
      <c r="AP32" s="169"/>
      <c r="AQ32" s="168"/>
      <c r="AR32" s="169"/>
      <c r="AS32" s="169"/>
      <c r="AT32" s="169"/>
      <c r="AU32" s="169"/>
      <c r="AV32" s="317"/>
      <c r="AW32" s="169"/>
      <c r="AX32" s="665"/>
      <c r="AZ32" s="668"/>
      <c r="BA32" s="168" t="s">
        <v>1</v>
      </c>
      <c r="BB32" s="169"/>
      <c r="BC32" s="168"/>
      <c r="BD32" s="169"/>
      <c r="BE32" s="169"/>
      <c r="BF32" s="169"/>
      <c r="BG32" s="169"/>
      <c r="BH32" s="169"/>
      <c r="BI32" s="169"/>
      <c r="BJ32" s="665"/>
      <c r="BL32" s="671"/>
      <c r="BM32" s="168" t="s">
        <v>1</v>
      </c>
      <c r="BN32" s="169"/>
      <c r="BO32" s="168"/>
      <c r="BP32" s="169"/>
      <c r="BQ32" s="169"/>
      <c r="BR32" s="169"/>
      <c r="BS32" s="169"/>
      <c r="BT32" s="169"/>
      <c r="BU32" s="169"/>
      <c r="BV32" s="665"/>
    </row>
    <row r="33" spans="2:74" ht="26" x14ac:dyDescent="0.3">
      <c r="B33" s="684"/>
      <c r="C33" s="676"/>
      <c r="D33" s="668"/>
      <c r="E33" s="170" t="str">
        <f>E25</f>
        <v>D</v>
      </c>
      <c r="F33" s="171"/>
      <c r="G33" s="170" t="str">
        <f>G25</f>
        <v>A</v>
      </c>
      <c r="H33" s="171"/>
      <c r="I33" s="171"/>
      <c r="J33" s="170" t="str">
        <f>+J31</f>
        <v>Um/A</v>
      </c>
      <c r="K33" s="171"/>
      <c r="L33" s="170" t="str">
        <f>+L31</f>
        <v>PmO</v>
      </c>
      <c r="M33" s="171"/>
      <c r="N33" s="665"/>
      <c r="P33" s="668"/>
      <c r="Q33" s="170" t="str">
        <f>Q25</f>
        <v>D</v>
      </c>
      <c r="R33" s="171"/>
      <c r="S33" s="170" t="str">
        <f>S25</f>
        <v>A</v>
      </c>
      <c r="T33" s="171"/>
      <c r="U33" s="171"/>
      <c r="V33" s="312" t="str">
        <f>+V31</f>
        <v>Um/A</v>
      </c>
      <c r="W33" s="318"/>
      <c r="X33" s="312" t="str">
        <f>+X31</f>
        <v>PmO</v>
      </c>
      <c r="Y33" s="171"/>
      <c r="Z33" s="665"/>
      <c r="AB33" s="668"/>
      <c r="AC33" s="170" t="str">
        <f>AC25</f>
        <v>D</v>
      </c>
      <c r="AD33" s="171"/>
      <c r="AE33" s="170" t="str">
        <f>AE25</f>
        <v>A</v>
      </c>
      <c r="AF33" s="171"/>
      <c r="AG33" s="171"/>
      <c r="AH33" s="312" t="str">
        <f>+AH31</f>
        <v>Um/A</v>
      </c>
      <c r="AI33" s="318"/>
      <c r="AJ33" s="312" t="str">
        <f>+AJ31</f>
        <v>PmO</v>
      </c>
      <c r="AK33" s="171"/>
      <c r="AL33" s="665"/>
      <c r="AN33" s="668"/>
      <c r="AO33" s="170" t="str">
        <f>AO25</f>
        <v>D</v>
      </c>
      <c r="AP33" s="171"/>
      <c r="AQ33" s="170" t="str">
        <f>AQ25</f>
        <v>A</v>
      </c>
      <c r="AR33" s="171"/>
      <c r="AS33" s="171"/>
      <c r="AT33" s="170" t="str">
        <f>+AT31</f>
        <v>Um/A</v>
      </c>
      <c r="AU33" s="171"/>
      <c r="AV33" s="312" t="str">
        <f>+AV31</f>
        <v>PmO</v>
      </c>
      <c r="AW33" s="171"/>
      <c r="AX33" s="665"/>
      <c r="AZ33" s="668"/>
      <c r="BA33" s="170" t="str">
        <f>BA25</f>
        <v xml:space="preserve">C </v>
      </c>
      <c r="BB33" s="171"/>
      <c r="BC33" s="170" t="str">
        <f>BC25</f>
        <v>A</v>
      </c>
      <c r="BD33" s="171"/>
      <c r="BE33" s="171"/>
      <c r="BF33" s="170" t="str">
        <f>+BF31</f>
        <v>Um/A</v>
      </c>
      <c r="BG33" s="171"/>
      <c r="BH33" s="170" t="str">
        <f>+BH31</f>
        <v>CmO</v>
      </c>
      <c r="BI33" s="171"/>
      <c r="BJ33" s="665"/>
      <c r="BL33" s="671"/>
      <c r="BM33" s="170" t="str">
        <f>BM25</f>
        <v xml:space="preserve">B </v>
      </c>
      <c r="BN33" s="171"/>
      <c r="BO33" s="170" t="str">
        <f>BO25</f>
        <v>A</v>
      </c>
      <c r="BP33" s="171"/>
      <c r="BQ33" s="171"/>
      <c r="BR33" s="170" t="str">
        <f>+BR31</f>
        <v>Um/A</v>
      </c>
      <c r="BS33" s="171"/>
      <c r="BT33" s="170" t="str">
        <f>+BT31</f>
        <v>BmO</v>
      </c>
      <c r="BU33" s="171"/>
      <c r="BV33" s="665"/>
    </row>
    <row r="34" spans="2:74" ht="21" x14ac:dyDescent="0.25">
      <c r="B34" s="684"/>
      <c r="C34" s="676"/>
      <c r="D34" s="668"/>
      <c r="E34" s="158">
        <f>+Q34+AC34+AO34</f>
        <v>3394.7200000000003</v>
      </c>
      <c r="F34" s="167" t="s">
        <v>52</v>
      </c>
      <c r="G34" s="159">
        <f>'% Occupation'!G19</f>
        <v>196</v>
      </c>
      <c r="H34" s="167" t="s">
        <v>54</v>
      </c>
      <c r="I34" s="167" t="s">
        <v>55</v>
      </c>
      <c r="J34" s="160">
        <f>+V34+AH34+AT34</f>
        <v>2.1</v>
      </c>
      <c r="K34" s="167" t="s">
        <v>54</v>
      </c>
      <c r="L34" s="158">
        <f>E34/G34/J34</f>
        <v>8.2476190476190467</v>
      </c>
      <c r="M34" s="167" t="s">
        <v>58</v>
      </c>
      <c r="N34" s="665"/>
      <c r="P34" s="668"/>
      <c r="Q34" s="158">
        <f>+S34*(V34*X34)</f>
        <v>944.06666666666683</v>
      </c>
      <c r="R34" s="167" t="s">
        <v>52</v>
      </c>
      <c r="S34" s="159">
        <f>G34</f>
        <v>196</v>
      </c>
      <c r="T34" s="167" t="s">
        <v>54</v>
      </c>
      <c r="U34" s="167" t="s">
        <v>55</v>
      </c>
      <c r="V34" s="301">
        <f>'Calcul CmO et PmO'!L150</f>
        <v>1</v>
      </c>
      <c r="W34" s="311" t="s">
        <v>54</v>
      </c>
      <c r="X34" s="302">
        <f>'Calcul CmO et PmO'!F150</f>
        <v>4.8166666666666673</v>
      </c>
      <c r="Y34" s="167" t="s">
        <v>58</v>
      </c>
      <c r="Z34" s="665"/>
      <c r="AB34" s="668"/>
      <c r="AC34" s="158">
        <f>+AE34*(AH34*AJ34)</f>
        <v>1868.5333333333333</v>
      </c>
      <c r="AD34" s="167" t="s">
        <v>52</v>
      </c>
      <c r="AE34" s="159">
        <f>S34</f>
        <v>196</v>
      </c>
      <c r="AF34" s="167" t="s">
        <v>54</v>
      </c>
      <c r="AG34" s="167" t="s">
        <v>55</v>
      </c>
      <c r="AH34" s="301">
        <f>'Calcul CmO et PmO'!L165</f>
        <v>1</v>
      </c>
      <c r="AI34" s="311" t="s">
        <v>54</v>
      </c>
      <c r="AJ34" s="302">
        <f>'Calcul CmO et PmO'!F165</f>
        <v>9.5333333333333332</v>
      </c>
      <c r="AK34" s="167" t="s">
        <v>58</v>
      </c>
      <c r="AL34" s="665"/>
      <c r="AN34" s="668"/>
      <c r="AO34" s="158">
        <f>+AQ34*(AT34*AV34)</f>
        <v>582.12</v>
      </c>
      <c r="AP34" s="167" t="s">
        <v>52</v>
      </c>
      <c r="AQ34" s="159">
        <f>AE34</f>
        <v>196</v>
      </c>
      <c r="AR34" s="167" t="s">
        <v>54</v>
      </c>
      <c r="AS34" s="167" t="s">
        <v>55</v>
      </c>
      <c r="AT34" s="161">
        <v>0.1</v>
      </c>
      <c r="AU34" s="167" t="s">
        <v>54</v>
      </c>
      <c r="AV34" s="302">
        <f>'Calcul CmO, PmO, Etc.'!E28</f>
        <v>29.7</v>
      </c>
      <c r="AW34" s="167" t="s">
        <v>58</v>
      </c>
      <c r="AX34" s="665"/>
      <c r="AZ34" s="668"/>
      <c r="BA34" s="158">
        <f>+BC34*(BF34*BH34)</f>
        <v>0</v>
      </c>
      <c r="BB34" s="167" t="s">
        <v>52</v>
      </c>
      <c r="BC34" s="159">
        <f>G34</f>
        <v>196</v>
      </c>
      <c r="BD34" s="167" t="s">
        <v>54</v>
      </c>
      <c r="BE34" s="167" t="s">
        <v>55</v>
      </c>
      <c r="BF34" s="160">
        <f>J34</f>
        <v>2.1</v>
      </c>
      <c r="BG34" s="167" t="s">
        <v>54</v>
      </c>
      <c r="BH34" s="208">
        <v>0</v>
      </c>
      <c r="BI34" s="167" t="s">
        <v>58</v>
      </c>
      <c r="BJ34" s="665"/>
      <c r="BL34" s="671"/>
      <c r="BM34" s="158">
        <f>E34-BA34</f>
        <v>3394.7200000000003</v>
      </c>
      <c r="BN34" s="167" t="s">
        <v>52</v>
      </c>
      <c r="BO34" s="159">
        <f>S34</f>
        <v>196</v>
      </c>
      <c r="BP34" s="167" t="s">
        <v>54</v>
      </c>
      <c r="BQ34" s="167" t="s">
        <v>55</v>
      </c>
      <c r="BR34" s="160">
        <f>J34</f>
        <v>2.1</v>
      </c>
      <c r="BS34" s="167" t="s">
        <v>54</v>
      </c>
      <c r="BT34" s="158">
        <f>BM34/BO34/BR34</f>
        <v>8.2476190476190467</v>
      </c>
      <c r="BU34" s="167" t="s">
        <v>58</v>
      </c>
      <c r="BV34" s="665"/>
    </row>
    <row r="35" spans="2:74" ht="17" thickBot="1" x14ac:dyDescent="0.25">
      <c r="B35" s="684"/>
      <c r="C35" s="676"/>
      <c r="D35" s="669"/>
      <c r="E35" s="172"/>
      <c r="F35" s="172"/>
      <c r="G35" s="172"/>
      <c r="H35" s="172"/>
      <c r="I35" s="172"/>
      <c r="J35" s="172"/>
      <c r="K35" s="172"/>
      <c r="L35" s="172"/>
      <c r="M35" s="172"/>
      <c r="N35" s="666"/>
      <c r="P35" s="669"/>
      <c r="Q35" s="172"/>
      <c r="R35" s="172"/>
      <c r="S35" s="172"/>
      <c r="T35" s="172"/>
      <c r="U35" s="172"/>
      <c r="V35" s="319"/>
      <c r="W35" s="319"/>
      <c r="X35" s="319"/>
      <c r="Y35" s="172"/>
      <c r="Z35" s="666"/>
      <c r="AB35" s="669"/>
      <c r="AC35" s="172"/>
      <c r="AD35" s="172"/>
      <c r="AE35" s="172"/>
      <c r="AF35" s="172"/>
      <c r="AG35" s="172"/>
      <c r="AH35" s="319"/>
      <c r="AI35" s="319"/>
      <c r="AJ35" s="319"/>
      <c r="AK35" s="172"/>
      <c r="AL35" s="666"/>
      <c r="AN35" s="669"/>
      <c r="AO35" s="172"/>
      <c r="AP35" s="172"/>
      <c r="AQ35" s="172"/>
      <c r="AR35" s="172"/>
      <c r="AS35" s="172"/>
      <c r="AT35" s="172"/>
      <c r="AU35" s="172"/>
      <c r="AV35" s="417"/>
      <c r="AW35" s="172"/>
      <c r="AX35" s="666"/>
      <c r="AZ35" s="669"/>
      <c r="BA35" s="172"/>
      <c r="BB35" s="172"/>
      <c r="BC35" s="172"/>
      <c r="BD35" s="172"/>
      <c r="BE35" s="172"/>
      <c r="BF35" s="172"/>
      <c r="BG35" s="172"/>
      <c r="BH35" s="172"/>
      <c r="BI35" s="172"/>
      <c r="BJ35" s="666"/>
      <c r="BL35" s="672"/>
      <c r="BM35" s="172"/>
      <c r="BN35" s="172"/>
      <c r="BO35" s="172"/>
      <c r="BP35" s="172"/>
      <c r="BQ35" s="172"/>
      <c r="BR35" s="172"/>
      <c r="BS35" s="172"/>
      <c r="BT35" s="172"/>
      <c r="BU35" s="172"/>
      <c r="BV35" s="666"/>
    </row>
    <row r="36" spans="2:74" ht="5" customHeight="1" thickTop="1" thickBot="1" x14ac:dyDescent="0.2">
      <c r="B36" s="684"/>
      <c r="C36" s="150"/>
      <c r="V36" s="307"/>
      <c r="W36" s="307"/>
      <c r="X36" s="307"/>
      <c r="AH36" s="307"/>
      <c r="AI36" s="307"/>
      <c r="AJ36" s="307"/>
      <c r="AV36" s="307"/>
    </row>
    <row r="37" spans="2:74" ht="17" thickTop="1" x14ac:dyDescent="0.2">
      <c r="B37" s="684"/>
      <c r="C37" s="676">
        <v>5</v>
      </c>
      <c r="D37" s="667" t="s">
        <v>49</v>
      </c>
      <c r="E37" s="165"/>
      <c r="F37" s="165"/>
      <c r="G37" s="211" t="str">
        <f>'Achalandage journalier'!H5</f>
        <v>Pér.05</v>
      </c>
      <c r="H37" s="165"/>
      <c r="I37" s="165"/>
      <c r="J37" s="165"/>
      <c r="K37" s="165"/>
      <c r="L37" s="165"/>
      <c r="M37" s="165"/>
      <c r="N37" s="664" t="s">
        <v>50</v>
      </c>
      <c r="P37" s="667" t="s">
        <v>49</v>
      </c>
      <c r="Q37" s="165"/>
      <c r="R37" s="165"/>
      <c r="S37" s="211" t="str">
        <f>G37</f>
        <v>Pér.05</v>
      </c>
      <c r="T37" s="165"/>
      <c r="U37" s="165"/>
      <c r="V37" s="320"/>
      <c r="W37" s="320"/>
      <c r="X37" s="320"/>
      <c r="Y37" s="165"/>
      <c r="Z37" s="664" t="s">
        <v>50</v>
      </c>
      <c r="AB37" s="667" t="s">
        <v>49</v>
      </c>
      <c r="AC37" s="165"/>
      <c r="AD37" s="165"/>
      <c r="AE37" s="211" t="str">
        <f>S37</f>
        <v>Pér.05</v>
      </c>
      <c r="AF37" s="165"/>
      <c r="AG37" s="165"/>
      <c r="AH37" s="320"/>
      <c r="AI37" s="320"/>
      <c r="AJ37" s="320"/>
      <c r="AK37" s="165"/>
      <c r="AL37" s="664" t="s">
        <v>50</v>
      </c>
      <c r="AN37" s="667" t="s">
        <v>49</v>
      </c>
      <c r="AO37" s="165"/>
      <c r="AP37" s="165"/>
      <c r="AQ37" s="211" t="str">
        <f>AE37</f>
        <v>Pér.05</v>
      </c>
      <c r="AR37" s="165"/>
      <c r="AS37" s="165"/>
      <c r="AT37" s="165"/>
      <c r="AU37" s="165"/>
      <c r="AV37" s="415"/>
      <c r="AW37" s="165"/>
      <c r="AX37" s="664" t="s">
        <v>50</v>
      </c>
      <c r="AZ37" s="667" t="s">
        <v>49</v>
      </c>
      <c r="BA37" s="165"/>
      <c r="BB37" s="165"/>
      <c r="BC37" s="211" t="str">
        <f>AQ37</f>
        <v>Pér.05</v>
      </c>
      <c r="BD37" s="165"/>
      <c r="BE37" s="165"/>
      <c r="BF37" s="165"/>
      <c r="BG37" s="165"/>
      <c r="BH37" s="165"/>
      <c r="BI37" s="165"/>
      <c r="BJ37" s="664" t="s">
        <v>50</v>
      </c>
      <c r="BL37" s="667" t="s">
        <v>49</v>
      </c>
      <c r="BM37" s="165"/>
      <c r="BN37" s="165"/>
      <c r="BO37" s="211" t="str">
        <f>BC37</f>
        <v>Pér.05</v>
      </c>
      <c r="BP37" s="165"/>
      <c r="BQ37" s="165"/>
      <c r="BR37" s="165"/>
      <c r="BS37" s="165"/>
      <c r="BT37" s="165"/>
      <c r="BU37" s="165"/>
      <c r="BV37" s="664" t="s">
        <v>50</v>
      </c>
    </row>
    <row r="38" spans="2:74" ht="16" x14ac:dyDescent="0.2">
      <c r="B38" s="684"/>
      <c r="C38" s="676"/>
      <c r="D38" s="668"/>
      <c r="E38" s="166"/>
      <c r="F38" s="166"/>
      <c r="G38" s="166"/>
      <c r="H38" s="166"/>
      <c r="I38" s="166"/>
      <c r="J38" s="166"/>
      <c r="K38" s="166"/>
      <c r="L38" s="166"/>
      <c r="M38" s="166"/>
      <c r="N38" s="665"/>
      <c r="P38" s="668"/>
      <c r="Q38" s="166"/>
      <c r="R38" s="166"/>
      <c r="S38" s="166"/>
      <c r="T38" s="166"/>
      <c r="U38" s="166"/>
      <c r="V38" s="321"/>
      <c r="W38" s="321"/>
      <c r="X38" s="321"/>
      <c r="Y38" s="166"/>
      <c r="Z38" s="665"/>
      <c r="AB38" s="668"/>
      <c r="AC38" s="166"/>
      <c r="AD38" s="166"/>
      <c r="AE38" s="166"/>
      <c r="AF38" s="166"/>
      <c r="AG38" s="166"/>
      <c r="AH38" s="321"/>
      <c r="AI38" s="321"/>
      <c r="AJ38" s="321"/>
      <c r="AK38" s="166"/>
      <c r="AL38" s="665"/>
      <c r="AN38" s="668"/>
      <c r="AO38" s="166"/>
      <c r="AP38" s="166"/>
      <c r="AQ38" s="166"/>
      <c r="AR38" s="166"/>
      <c r="AS38" s="166"/>
      <c r="AT38" s="166"/>
      <c r="AU38" s="166"/>
      <c r="AV38" s="416"/>
      <c r="AW38" s="166"/>
      <c r="AX38" s="665"/>
      <c r="AZ38" s="668"/>
      <c r="BA38" s="166"/>
      <c r="BB38" s="166"/>
      <c r="BC38" s="166"/>
      <c r="BD38" s="166"/>
      <c r="BE38" s="166"/>
      <c r="BF38" s="166"/>
      <c r="BG38" s="166"/>
      <c r="BH38" s="166"/>
      <c r="BI38" s="166"/>
      <c r="BJ38" s="665"/>
      <c r="BL38" s="668"/>
      <c r="BM38" s="166"/>
      <c r="BN38" s="166"/>
      <c r="BO38" s="166"/>
      <c r="BP38" s="166"/>
      <c r="BQ38" s="166"/>
      <c r="BR38" s="166"/>
      <c r="BS38" s="166"/>
      <c r="BT38" s="166"/>
      <c r="BU38" s="166"/>
      <c r="BV38" s="665"/>
    </row>
    <row r="39" spans="2:74" ht="21" x14ac:dyDescent="0.25">
      <c r="B39" s="684"/>
      <c r="C39" s="676"/>
      <c r="D39" s="668"/>
      <c r="E39" s="167" t="str">
        <f>E31</f>
        <v>Demande mensuelle</v>
      </c>
      <c r="F39" s="167" t="s">
        <v>52</v>
      </c>
      <c r="G39" s="167" t="str">
        <f>G31</f>
        <v>Achalandage mensuel</v>
      </c>
      <c r="H39" s="167" t="s">
        <v>54</v>
      </c>
      <c r="I39" s="167" t="s">
        <v>55</v>
      </c>
      <c r="J39" s="167" t="str">
        <f>J31</f>
        <v>Um/A</v>
      </c>
      <c r="K39" s="167" t="s">
        <v>54</v>
      </c>
      <c r="L39" s="167" t="str">
        <f>L31</f>
        <v>PmO</v>
      </c>
      <c r="M39" s="167" t="s">
        <v>58</v>
      </c>
      <c r="N39" s="665"/>
      <c r="P39" s="668"/>
      <c r="Q39" s="167" t="str">
        <f>Q31</f>
        <v>Demande mensuelle</v>
      </c>
      <c r="R39" s="167" t="s">
        <v>52</v>
      </c>
      <c r="S39" s="167" t="str">
        <f>S31</f>
        <v>Achalandage mensuel</v>
      </c>
      <c r="T39" s="167" t="s">
        <v>54</v>
      </c>
      <c r="U39" s="167" t="s">
        <v>55</v>
      </c>
      <c r="V39" s="311" t="str">
        <f>V31</f>
        <v>Um/A</v>
      </c>
      <c r="W39" s="311" t="s">
        <v>54</v>
      </c>
      <c r="X39" s="311" t="str">
        <f>X31</f>
        <v>PmO</v>
      </c>
      <c r="Y39" s="167" t="s">
        <v>58</v>
      </c>
      <c r="Z39" s="665"/>
      <c r="AB39" s="668"/>
      <c r="AC39" s="167" t="str">
        <f>AC31</f>
        <v>Demande mensuelle</v>
      </c>
      <c r="AD39" s="167" t="s">
        <v>52</v>
      </c>
      <c r="AE39" s="167" t="str">
        <f>AE31</f>
        <v>Achalandage mensuel</v>
      </c>
      <c r="AF39" s="167" t="s">
        <v>54</v>
      </c>
      <c r="AG39" s="167" t="s">
        <v>55</v>
      </c>
      <c r="AH39" s="311" t="str">
        <f>AH31</f>
        <v>Um/A</v>
      </c>
      <c r="AI39" s="311" t="s">
        <v>54</v>
      </c>
      <c r="AJ39" s="311" t="str">
        <f>AJ31</f>
        <v>PmO</v>
      </c>
      <c r="AK39" s="167" t="s">
        <v>58</v>
      </c>
      <c r="AL39" s="665"/>
      <c r="AN39" s="668"/>
      <c r="AO39" s="167" t="str">
        <f>AO31</f>
        <v>Demande mensuelle</v>
      </c>
      <c r="AP39" s="167" t="s">
        <v>52</v>
      </c>
      <c r="AQ39" s="167" t="str">
        <f>AQ31</f>
        <v>Achalandage mensuel</v>
      </c>
      <c r="AR39" s="167" t="s">
        <v>54</v>
      </c>
      <c r="AS39" s="167" t="s">
        <v>55</v>
      </c>
      <c r="AT39" s="167" t="str">
        <f>AT31</f>
        <v>Um/A</v>
      </c>
      <c r="AU39" s="167" t="s">
        <v>54</v>
      </c>
      <c r="AV39" s="311" t="str">
        <f>AV31</f>
        <v>PmO</v>
      </c>
      <c r="AW39" s="167" t="s">
        <v>58</v>
      </c>
      <c r="AX39" s="665"/>
      <c r="AZ39" s="668"/>
      <c r="BA39" s="167" t="str">
        <f>BA31</f>
        <v>Coût mensuel</v>
      </c>
      <c r="BB39" s="167" t="s">
        <v>52</v>
      </c>
      <c r="BC39" s="167" t="str">
        <f>BC31</f>
        <v>Achalandage mensuel</v>
      </c>
      <c r="BD39" s="167" t="s">
        <v>54</v>
      </c>
      <c r="BE39" s="167" t="s">
        <v>55</v>
      </c>
      <c r="BF39" s="167" t="str">
        <f>BF31</f>
        <v>Um/A</v>
      </c>
      <c r="BG39" s="167" t="s">
        <v>54</v>
      </c>
      <c r="BH39" s="167" t="str">
        <f>BH31</f>
        <v>CmO</v>
      </c>
      <c r="BI39" s="167" t="s">
        <v>58</v>
      </c>
      <c r="BJ39" s="665"/>
      <c r="BL39" s="668"/>
      <c r="BM39" s="167" t="str">
        <f>BM31</f>
        <v>Bénéfice mensuel</v>
      </c>
      <c r="BN39" s="167" t="s">
        <v>52</v>
      </c>
      <c r="BO39" s="167" t="str">
        <f>BO31</f>
        <v>Achalandage mensuel</v>
      </c>
      <c r="BP39" s="167" t="s">
        <v>54</v>
      </c>
      <c r="BQ39" s="167" t="s">
        <v>55</v>
      </c>
      <c r="BR39" s="167" t="str">
        <f>BR31</f>
        <v>Um/A</v>
      </c>
      <c r="BS39" s="167" t="s">
        <v>54</v>
      </c>
      <c r="BT39" s="167" t="str">
        <f>BT31</f>
        <v>BmO</v>
      </c>
      <c r="BU39" s="167" t="s">
        <v>58</v>
      </c>
      <c r="BV39" s="665"/>
    </row>
    <row r="40" spans="2:74" ht="19" x14ac:dyDescent="0.25">
      <c r="B40" s="684"/>
      <c r="C40" s="676"/>
      <c r="D40" s="668"/>
      <c r="E40" s="168" t="s">
        <v>1</v>
      </c>
      <c r="F40" s="169"/>
      <c r="G40" s="168"/>
      <c r="H40" s="169"/>
      <c r="I40" s="169"/>
      <c r="J40" s="169"/>
      <c r="K40" s="169"/>
      <c r="L40" s="169"/>
      <c r="M40" s="169"/>
      <c r="N40" s="665"/>
      <c r="P40" s="668"/>
      <c r="Q40" s="168" t="s">
        <v>1</v>
      </c>
      <c r="R40" s="169"/>
      <c r="S40" s="168"/>
      <c r="T40" s="169"/>
      <c r="U40" s="169"/>
      <c r="V40" s="317"/>
      <c r="W40" s="317"/>
      <c r="X40" s="317"/>
      <c r="Y40" s="169"/>
      <c r="Z40" s="665"/>
      <c r="AB40" s="668"/>
      <c r="AC40" s="168" t="s">
        <v>1</v>
      </c>
      <c r="AD40" s="169"/>
      <c r="AE40" s="168"/>
      <c r="AF40" s="169"/>
      <c r="AG40" s="169"/>
      <c r="AH40" s="317"/>
      <c r="AI40" s="317"/>
      <c r="AJ40" s="317"/>
      <c r="AK40" s="169"/>
      <c r="AL40" s="665"/>
      <c r="AN40" s="668"/>
      <c r="AO40" s="168" t="s">
        <v>1</v>
      </c>
      <c r="AP40" s="169"/>
      <c r="AQ40" s="168"/>
      <c r="AR40" s="169"/>
      <c r="AS40" s="169"/>
      <c r="AT40" s="169"/>
      <c r="AU40" s="169"/>
      <c r="AV40" s="317"/>
      <c r="AW40" s="169"/>
      <c r="AX40" s="665"/>
      <c r="AZ40" s="668"/>
      <c r="BA40" s="168" t="s">
        <v>1</v>
      </c>
      <c r="BB40" s="169"/>
      <c r="BC40" s="168"/>
      <c r="BD40" s="169"/>
      <c r="BE40" s="169"/>
      <c r="BF40" s="169"/>
      <c r="BG40" s="169"/>
      <c r="BH40" s="169"/>
      <c r="BI40" s="169"/>
      <c r="BJ40" s="665"/>
      <c r="BL40" s="668"/>
      <c r="BM40" s="168" t="s">
        <v>1</v>
      </c>
      <c r="BN40" s="169"/>
      <c r="BO40" s="168"/>
      <c r="BP40" s="169"/>
      <c r="BQ40" s="169"/>
      <c r="BR40" s="169"/>
      <c r="BS40" s="169"/>
      <c r="BT40" s="169"/>
      <c r="BU40" s="169"/>
      <c r="BV40" s="665"/>
    </row>
    <row r="41" spans="2:74" ht="26" x14ac:dyDescent="0.3">
      <c r="B41" s="684"/>
      <c r="C41" s="676"/>
      <c r="D41" s="668"/>
      <c r="E41" s="170" t="str">
        <f>E33</f>
        <v>D</v>
      </c>
      <c r="F41" s="171"/>
      <c r="G41" s="170" t="str">
        <f>G33</f>
        <v>A</v>
      </c>
      <c r="H41" s="171"/>
      <c r="I41" s="171"/>
      <c r="J41" s="170" t="str">
        <f>+J39</f>
        <v>Um/A</v>
      </c>
      <c r="K41" s="171"/>
      <c r="L41" s="170" t="str">
        <f>+L39</f>
        <v>PmO</v>
      </c>
      <c r="M41" s="171"/>
      <c r="N41" s="665"/>
      <c r="P41" s="668"/>
      <c r="Q41" s="170" t="str">
        <f>Q33</f>
        <v>D</v>
      </c>
      <c r="R41" s="171"/>
      <c r="S41" s="170" t="str">
        <f>S33</f>
        <v>A</v>
      </c>
      <c r="T41" s="171"/>
      <c r="U41" s="171"/>
      <c r="V41" s="312" t="str">
        <f>+V39</f>
        <v>Um/A</v>
      </c>
      <c r="W41" s="318"/>
      <c r="X41" s="312" t="str">
        <f>+X39</f>
        <v>PmO</v>
      </c>
      <c r="Y41" s="171"/>
      <c r="Z41" s="665"/>
      <c r="AB41" s="668"/>
      <c r="AC41" s="170" t="str">
        <f>AC33</f>
        <v>D</v>
      </c>
      <c r="AD41" s="171"/>
      <c r="AE41" s="170" t="str">
        <f>AE33</f>
        <v>A</v>
      </c>
      <c r="AF41" s="171"/>
      <c r="AG41" s="171"/>
      <c r="AH41" s="312" t="str">
        <f>+AH39</f>
        <v>Um/A</v>
      </c>
      <c r="AI41" s="318"/>
      <c r="AJ41" s="312" t="str">
        <f>+AJ39</f>
        <v>PmO</v>
      </c>
      <c r="AK41" s="171"/>
      <c r="AL41" s="665"/>
      <c r="AN41" s="668"/>
      <c r="AO41" s="170" t="str">
        <f>AO33</f>
        <v>D</v>
      </c>
      <c r="AP41" s="171"/>
      <c r="AQ41" s="170" t="str">
        <f>AQ33</f>
        <v>A</v>
      </c>
      <c r="AR41" s="171"/>
      <c r="AS41" s="171"/>
      <c r="AT41" s="170" t="str">
        <f>+AT39</f>
        <v>Um/A</v>
      </c>
      <c r="AU41" s="171"/>
      <c r="AV41" s="312" t="str">
        <f>+AV39</f>
        <v>PmO</v>
      </c>
      <c r="AW41" s="171"/>
      <c r="AX41" s="665"/>
      <c r="AZ41" s="668"/>
      <c r="BA41" s="170" t="str">
        <f>BA33</f>
        <v xml:space="preserve">C </v>
      </c>
      <c r="BB41" s="171"/>
      <c r="BC41" s="170" t="str">
        <f>BC33</f>
        <v>A</v>
      </c>
      <c r="BD41" s="171"/>
      <c r="BE41" s="171"/>
      <c r="BF41" s="170" t="str">
        <f>+BF39</f>
        <v>Um/A</v>
      </c>
      <c r="BG41" s="171"/>
      <c r="BH41" s="170" t="str">
        <f>+BH39</f>
        <v>CmO</v>
      </c>
      <c r="BI41" s="171"/>
      <c r="BJ41" s="665"/>
      <c r="BL41" s="668"/>
      <c r="BM41" s="170" t="str">
        <f>BM33</f>
        <v xml:space="preserve">B </v>
      </c>
      <c r="BN41" s="171"/>
      <c r="BO41" s="170" t="str">
        <f>BO33</f>
        <v>A</v>
      </c>
      <c r="BP41" s="171"/>
      <c r="BQ41" s="171"/>
      <c r="BR41" s="170" t="str">
        <f>+BR39</f>
        <v>Um/A</v>
      </c>
      <c r="BS41" s="171"/>
      <c r="BT41" s="170" t="str">
        <f>+BT39</f>
        <v>BmO</v>
      </c>
      <c r="BU41" s="171"/>
      <c r="BV41" s="665"/>
    </row>
    <row r="42" spans="2:74" ht="21" x14ac:dyDescent="0.25">
      <c r="B42" s="684"/>
      <c r="C42" s="676"/>
      <c r="D42" s="668"/>
      <c r="E42" s="158">
        <f>+Q42+AC42+AO42</f>
        <v>3394.7200000000003</v>
      </c>
      <c r="F42" s="167" t="s">
        <v>52</v>
      </c>
      <c r="G42" s="159">
        <f>'% Occupation'!H19</f>
        <v>196</v>
      </c>
      <c r="H42" s="167" t="s">
        <v>54</v>
      </c>
      <c r="I42" s="167" t="s">
        <v>55</v>
      </c>
      <c r="J42" s="160">
        <f>+V42+AH42+AT42</f>
        <v>2.1</v>
      </c>
      <c r="K42" s="167" t="s">
        <v>54</v>
      </c>
      <c r="L42" s="158">
        <f>E42/G42/J42</f>
        <v>8.2476190476190467</v>
      </c>
      <c r="M42" s="167" t="s">
        <v>58</v>
      </c>
      <c r="N42" s="665"/>
      <c r="P42" s="668"/>
      <c r="Q42" s="158">
        <f>+S42*(V42*X42)</f>
        <v>944.06666666666683</v>
      </c>
      <c r="R42" s="167" t="s">
        <v>52</v>
      </c>
      <c r="S42" s="159">
        <f>G42</f>
        <v>196</v>
      </c>
      <c r="T42" s="167" t="s">
        <v>54</v>
      </c>
      <c r="U42" s="167" t="s">
        <v>55</v>
      </c>
      <c r="V42" s="301">
        <f>'Calcul CmO et PmO'!L193</f>
        <v>1</v>
      </c>
      <c r="W42" s="311" t="s">
        <v>54</v>
      </c>
      <c r="X42" s="302">
        <f>'Calcul CmO et PmO'!F193</f>
        <v>4.8166666666666673</v>
      </c>
      <c r="Y42" s="167" t="s">
        <v>58</v>
      </c>
      <c r="Z42" s="665"/>
      <c r="AB42" s="668"/>
      <c r="AC42" s="158">
        <f>+AE42*(AH42*AJ42)</f>
        <v>1868.5333333333333</v>
      </c>
      <c r="AD42" s="167" t="s">
        <v>52</v>
      </c>
      <c r="AE42" s="159">
        <f>S42</f>
        <v>196</v>
      </c>
      <c r="AF42" s="167" t="s">
        <v>54</v>
      </c>
      <c r="AG42" s="167" t="s">
        <v>55</v>
      </c>
      <c r="AH42" s="301">
        <f>'Calcul CmO et PmO'!L208</f>
        <v>1</v>
      </c>
      <c r="AI42" s="311" t="s">
        <v>54</v>
      </c>
      <c r="AJ42" s="302">
        <f>'Calcul CmO et PmO'!F208</f>
        <v>9.5333333333333332</v>
      </c>
      <c r="AK42" s="167" t="s">
        <v>58</v>
      </c>
      <c r="AL42" s="665"/>
      <c r="AN42" s="668"/>
      <c r="AO42" s="158">
        <f>+AQ42*(AT42*AV42)</f>
        <v>582.12</v>
      </c>
      <c r="AP42" s="167" t="s">
        <v>52</v>
      </c>
      <c r="AQ42" s="159">
        <f>AE42</f>
        <v>196</v>
      </c>
      <c r="AR42" s="167" t="s">
        <v>54</v>
      </c>
      <c r="AS42" s="167" t="s">
        <v>55</v>
      </c>
      <c r="AT42" s="161">
        <v>0.1</v>
      </c>
      <c r="AU42" s="167" t="s">
        <v>54</v>
      </c>
      <c r="AV42" s="302">
        <f>'Calcul CmO, PmO, Etc.'!E28</f>
        <v>29.7</v>
      </c>
      <c r="AW42" s="167" t="s">
        <v>58</v>
      </c>
      <c r="AX42" s="665"/>
      <c r="AZ42" s="668"/>
      <c r="BA42" s="158">
        <f>+BC42*(BF42*BH42)</f>
        <v>0</v>
      </c>
      <c r="BB42" s="167" t="s">
        <v>52</v>
      </c>
      <c r="BC42" s="159">
        <f>G42</f>
        <v>196</v>
      </c>
      <c r="BD42" s="167" t="s">
        <v>54</v>
      </c>
      <c r="BE42" s="167" t="s">
        <v>55</v>
      </c>
      <c r="BF42" s="160">
        <f>J42</f>
        <v>2.1</v>
      </c>
      <c r="BG42" s="167" t="s">
        <v>54</v>
      </c>
      <c r="BH42" s="208">
        <v>0</v>
      </c>
      <c r="BI42" s="167" t="s">
        <v>58</v>
      </c>
      <c r="BJ42" s="665"/>
      <c r="BL42" s="668"/>
      <c r="BM42" s="158">
        <f>E42-BA42</f>
        <v>3394.7200000000003</v>
      </c>
      <c r="BN42" s="167" t="s">
        <v>52</v>
      </c>
      <c r="BO42" s="159">
        <f>S42</f>
        <v>196</v>
      </c>
      <c r="BP42" s="167" t="s">
        <v>54</v>
      </c>
      <c r="BQ42" s="167" t="s">
        <v>55</v>
      </c>
      <c r="BR42" s="160">
        <f>J42</f>
        <v>2.1</v>
      </c>
      <c r="BS42" s="167" t="s">
        <v>54</v>
      </c>
      <c r="BT42" s="158">
        <f>BM42/BO42/BR42</f>
        <v>8.2476190476190467</v>
      </c>
      <c r="BU42" s="167" t="s">
        <v>58</v>
      </c>
      <c r="BV42" s="665"/>
    </row>
    <row r="43" spans="2:74" ht="17" thickBot="1" x14ac:dyDescent="0.25">
      <c r="B43" s="684"/>
      <c r="C43" s="676"/>
      <c r="D43" s="669"/>
      <c r="E43" s="172"/>
      <c r="F43" s="172"/>
      <c r="G43" s="172"/>
      <c r="H43" s="172"/>
      <c r="I43" s="172"/>
      <c r="J43" s="172"/>
      <c r="K43" s="172"/>
      <c r="L43" s="172"/>
      <c r="M43" s="172"/>
      <c r="N43" s="666"/>
      <c r="P43" s="669"/>
      <c r="Q43" s="172"/>
      <c r="R43" s="172"/>
      <c r="S43" s="172"/>
      <c r="T43" s="172"/>
      <c r="U43" s="172"/>
      <c r="V43" s="319"/>
      <c r="W43" s="319"/>
      <c r="X43" s="319"/>
      <c r="Y43" s="172"/>
      <c r="Z43" s="666"/>
      <c r="AB43" s="669"/>
      <c r="AC43" s="172"/>
      <c r="AD43" s="172"/>
      <c r="AE43" s="172"/>
      <c r="AF43" s="172"/>
      <c r="AG43" s="172"/>
      <c r="AH43" s="319"/>
      <c r="AI43" s="319"/>
      <c r="AJ43" s="319"/>
      <c r="AK43" s="172"/>
      <c r="AL43" s="666"/>
      <c r="AN43" s="669"/>
      <c r="AO43" s="172"/>
      <c r="AP43" s="172"/>
      <c r="AQ43" s="172"/>
      <c r="AR43" s="172"/>
      <c r="AS43" s="172"/>
      <c r="AT43" s="172"/>
      <c r="AU43" s="172"/>
      <c r="AV43" s="417"/>
      <c r="AW43" s="172"/>
      <c r="AX43" s="666"/>
      <c r="AZ43" s="669"/>
      <c r="BA43" s="172"/>
      <c r="BB43" s="172"/>
      <c r="BC43" s="172"/>
      <c r="BD43" s="172"/>
      <c r="BE43" s="172"/>
      <c r="BF43" s="172"/>
      <c r="BG43" s="172"/>
      <c r="BH43" s="172"/>
      <c r="BI43" s="172"/>
      <c r="BJ43" s="666"/>
      <c r="BL43" s="669"/>
      <c r="BM43" s="172"/>
      <c r="BN43" s="172"/>
      <c r="BO43" s="172"/>
      <c r="BP43" s="172"/>
      <c r="BQ43" s="172"/>
      <c r="BR43" s="172"/>
      <c r="BS43" s="172"/>
      <c r="BT43" s="172"/>
      <c r="BU43" s="172"/>
      <c r="BV43" s="666"/>
    </row>
    <row r="44" spans="2:74" ht="5" customHeight="1" thickTop="1" thickBot="1" x14ac:dyDescent="0.2">
      <c r="B44" s="684"/>
      <c r="C44" s="150"/>
      <c r="V44" s="307"/>
      <c r="W44" s="307"/>
      <c r="X44" s="307"/>
      <c r="AH44" s="307"/>
      <c r="AI44" s="307"/>
      <c r="AJ44" s="307"/>
      <c r="AV44" s="307"/>
    </row>
    <row r="45" spans="2:74" ht="17" thickTop="1" x14ac:dyDescent="0.2">
      <c r="B45" s="684"/>
      <c r="C45" s="676">
        <v>6</v>
      </c>
      <c r="D45" s="667" t="s">
        <v>49</v>
      </c>
      <c r="E45" s="165"/>
      <c r="F45" s="165"/>
      <c r="G45" s="211" t="str">
        <f>'Achalandage journalier'!I5</f>
        <v>Pér.06</v>
      </c>
      <c r="H45" s="165"/>
      <c r="I45" s="165"/>
      <c r="J45" s="165"/>
      <c r="K45" s="165"/>
      <c r="L45" s="165"/>
      <c r="M45" s="165"/>
      <c r="N45" s="664" t="s">
        <v>50</v>
      </c>
      <c r="P45" s="667" t="s">
        <v>49</v>
      </c>
      <c r="Q45" s="165"/>
      <c r="R45" s="165"/>
      <c r="S45" s="211" t="str">
        <f>G45</f>
        <v>Pér.06</v>
      </c>
      <c r="T45" s="165"/>
      <c r="U45" s="165"/>
      <c r="V45" s="320"/>
      <c r="W45" s="320"/>
      <c r="X45" s="320"/>
      <c r="Y45" s="165"/>
      <c r="Z45" s="664" t="s">
        <v>50</v>
      </c>
      <c r="AB45" s="667" t="s">
        <v>49</v>
      </c>
      <c r="AC45" s="165"/>
      <c r="AD45" s="165"/>
      <c r="AE45" s="211" t="str">
        <f>S45</f>
        <v>Pér.06</v>
      </c>
      <c r="AF45" s="165"/>
      <c r="AG45" s="165"/>
      <c r="AH45" s="320"/>
      <c r="AI45" s="320"/>
      <c r="AJ45" s="320"/>
      <c r="AK45" s="165"/>
      <c r="AL45" s="664" t="s">
        <v>50</v>
      </c>
      <c r="AN45" s="667" t="s">
        <v>49</v>
      </c>
      <c r="AO45" s="165"/>
      <c r="AP45" s="165"/>
      <c r="AQ45" s="211" t="str">
        <f>AE45</f>
        <v>Pér.06</v>
      </c>
      <c r="AR45" s="165"/>
      <c r="AS45" s="165"/>
      <c r="AT45" s="165"/>
      <c r="AU45" s="165"/>
      <c r="AV45" s="415"/>
      <c r="AW45" s="165"/>
      <c r="AX45" s="664" t="s">
        <v>50</v>
      </c>
      <c r="AZ45" s="667" t="s">
        <v>49</v>
      </c>
      <c r="BA45" s="165"/>
      <c r="BB45" s="165"/>
      <c r="BC45" s="211" t="str">
        <f>AQ45</f>
        <v>Pér.06</v>
      </c>
      <c r="BD45" s="165"/>
      <c r="BE45" s="165"/>
      <c r="BF45" s="165"/>
      <c r="BG45" s="165"/>
      <c r="BH45" s="165"/>
      <c r="BI45" s="165"/>
      <c r="BJ45" s="664" t="s">
        <v>50</v>
      </c>
      <c r="BL45" s="667" t="s">
        <v>49</v>
      </c>
      <c r="BM45" s="165"/>
      <c r="BN45" s="165"/>
      <c r="BO45" s="211" t="str">
        <f>BC45</f>
        <v>Pér.06</v>
      </c>
      <c r="BP45" s="165"/>
      <c r="BQ45" s="165"/>
      <c r="BR45" s="165"/>
      <c r="BS45" s="165"/>
      <c r="BT45" s="165"/>
      <c r="BU45" s="165"/>
      <c r="BV45" s="664" t="s">
        <v>50</v>
      </c>
    </row>
    <row r="46" spans="2:74" ht="16" x14ac:dyDescent="0.2">
      <c r="B46" s="684"/>
      <c r="C46" s="676"/>
      <c r="D46" s="668"/>
      <c r="E46" s="166"/>
      <c r="F46" s="166"/>
      <c r="G46" s="166"/>
      <c r="H46" s="166"/>
      <c r="I46" s="166"/>
      <c r="J46" s="166"/>
      <c r="K46" s="166"/>
      <c r="L46" s="166"/>
      <c r="M46" s="166"/>
      <c r="N46" s="665"/>
      <c r="P46" s="668"/>
      <c r="Q46" s="166"/>
      <c r="R46" s="166"/>
      <c r="S46" s="166"/>
      <c r="T46" s="166"/>
      <c r="U46" s="166"/>
      <c r="V46" s="321"/>
      <c r="W46" s="321"/>
      <c r="X46" s="321"/>
      <c r="Y46" s="166"/>
      <c r="Z46" s="665"/>
      <c r="AB46" s="668"/>
      <c r="AC46" s="166"/>
      <c r="AD46" s="166"/>
      <c r="AE46" s="166"/>
      <c r="AF46" s="166"/>
      <c r="AG46" s="166"/>
      <c r="AH46" s="321"/>
      <c r="AI46" s="321"/>
      <c r="AJ46" s="321"/>
      <c r="AK46" s="166"/>
      <c r="AL46" s="665"/>
      <c r="AN46" s="668"/>
      <c r="AO46" s="166"/>
      <c r="AP46" s="166"/>
      <c r="AQ46" s="166"/>
      <c r="AR46" s="166"/>
      <c r="AS46" s="166"/>
      <c r="AT46" s="166"/>
      <c r="AU46" s="166"/>
      <c r="AV46" s="416"/>
      <c r="AW46" s="166"/>
      <c r="AX46" s="665"/>
      <c r="AZ46" s="668"/>
      <c r="BA46" s="166"/>
      <c r="BB46" s="166"/>
      <c r="BC46" s="166"/>
      <c r="BD46" s="166"/>
      <c r="BE46" s="166"/>
      <c r="BF46" s="166"/>
      <c r="BG46" s="166"/>
      <c r="BH46" s="166"/>
      <c r="BI46" s="166"/>
      <c r="BJ46" s="665"/>
      <c r="BL46" s="668"/>
      <c r="BM46" s="209" t="s">
        <v>1</v>
      </c>
      <c r="BN46" s="166"/>
      <c r="BO46" s="166"/>
      <c r="BP46" s="166"/>
      <c r="BQ46" s="166"/>
      <c r="BR46" s="166"/>
      <c r="BS46" s="166"/>
      <c r="BT46" s="166"/>
      <c r="BU46" s="166"/>
      <c r="BV46" s="665"/>
    </row>
    <row r="47" spans="2:74" ht="21" x14ac:dyDescent="0.25">
      <c r="B47" s="684"/>
      <c r="C47" s="676"/>
      <c r="D47" s="668"/>
      <c r="E47" s="167" t="str">
        <f>E39</f>
        <v>Demande mensuelle</v>
      </c>
      <c r="F47" s="167" t="s">
        <v>52</v>
      </c>
      <c r="G47" s="167" t="str">
        <f>G39</f>
        <v>Achalandage mensuel</v>
      </c>
      <c r="H47" s="167" t="s">
        <v>54</v>
      </c>
      <c r="I47" s="167" t="s">
        <v>55</v>
      </c>
      <c r="J47" s="167" t="str">
        <f>J39</f>
        <v>Um/A</v>
      </c>
      <c r="K47" s="167" t="s">
        <v>54</v>
      </c>
      <c r="L47" s="167" t="str">
        <f>L39</f>
        <v>PmO</v>
      </c>
      <c r="M47" s="167" t="s">
        <v>58</v>
      </c>
      <c r="N47" s="665"/>
      <c r="P47" s="668"/>
      <c r="Q47" s="167" t="str">
        <f>Q39</f>
        <v>Demande mensuelle</v>
      </c>
      <c r="R47" s="167" t="s">
        <v>52</v>
      </c>
      <c r="S47" s="167" t="str">
        <f>S39</f>
        <v>Achalandage mensuel</v>
      </c>
      <c r="T47" s="167" t="s">
        <v>54</v>
      </c>
      <c r="U47" s="167" t="s">
        <v>55</v>
      </c>
      <c r="V47" s="311" t="str">
        <f>V39</f>
        <v>Um/A</v>
      </c>
      <c r="W47" s="311" t="s">
        <v>54</v>
      </c>
      <c r="X47" s="311" t="str">
        <f>X39</f>
        <v>PmO</v>
      </c>
      <c r="Y47" s="167" t="s">
        <v>58</v>
      </c>
      <c r="Z47" s="665"/>
      <c r="AB47" s="668"/>
      <c r="AC47" s="167" t="str">
        <f>AC39</f>
        <v>Demande mensuelle</v>
      </c>
      <c r="AD47" s="167" t="s">
        <v>52</v>
      </c>
      <c r="AE47" s="167" t="str">
        <f>AE39</f>
        <v>Achalandage mensuel</v>
      </c>
      <c r="AF47" s="167" t="s">
        <v>54</v>
      </c>
      <c r="AG47" s="167" t="s">
        <v>55</v>
      </c>
      <c r="AH47" s="311" t="str">
        <f>AH39</f>
        <v>Um/A</v>
      </c>
      <c r="AI47" s="311" t="s">
        <v>54</v>
      </c>
      <c r="AJ47" s="311" t="str">
        <f>AJ39</f>
        <v>PmO</v>
      </c>
      <c r="AK47" s="167" t="s">
        <v>58</v>
      </c>
      <c r="AL47" s="665"/>
      <c r="AN47" s="668"/>
      <c r="AO47" s="167" t="str">
        <f>AO39</f>
        <v>Demande mensuelle</v>
      </c>
      <c r="AP47" s="167" t="s">
        <v>52</v>
      </c>
      <c r="AQ47" s="167" t="str">
        <f>AQ39</f>
        <v>Achalandage mensuel</v>
      </c>
      <c r="AR47" s="167" t="s">
        <v>54</v>
      </c>
      <c r="AS47" s="167" t="s">
        <v>55</v>
      </c>
      <c r="AT47" s="167" t="str">
        <f>AT39</f>
        <v>Um/A</v>
      </c>
      <c r="AU47" s="167" t="s">
        <v>54</v>
      </c>
      <c r="AV47" s="311" t="str">
        <f>AV39</f>
        <v>PmO</v>
      </c>
      <c r="AW47" s="167" t="s">
        <v>58</v>
      </c>
      <c r="AX47" s="665"/>
      <c r="AZ47" s="668"/>
      <c r="BA47" s="167" t="str">
        <f>BA39</f>
        <v>Coût mensuel</v>
      </c>
      <c r="BB47" s="167" t="s">
        <v>52</v>
      </c>
      <c r="BC47" s="167" t="str">
        <f>BC39</f>
        <v>Achalandage mensuel</v>
      </c>
      <c r="BD47" s="167" t="s">
        <v>54</v>
      </c>
      <c r="BE47" s="167" t="s">
        <v>55</v>
      </c>
      <c r="BF47" s="167" t="str">
        <f>BF39</f>
        <v>Um/A</v>
      </c>
      <c r="BG47" s="167" t="s">
        <v>54</v>
      </c>
      <c r="BH47" s="167" t="str">
        <f>BH39</f>
        <v>CmO</v>
      </c>
      <c r="BI47" s="167" t="s">
        <v>58</v>
      </c>
      <c r="BJ47" s="665"/>
      <c r="BL47" s="668"/>
      <c r="BM47" s="167" t="str">
        <f>BM39</f>
        <v>Bénéfice mensuel</v>
      </c>
      <c r="BN47" s="167" t="s">
        <v>52</v>
      </c>
      <c r="BO47" s="167" t="str">
        <f>BO39</f>
        <v>Achalandage mensuel</v>
      </c>
      <c r="BP47" s="167" t="s">
        <v>54</v>
      </c>
      <c r="BQ47" s="167" t="s">
        <v>55</v>
      </c>
      <c r="BR47" s="167" t="str">
        <f>BR39</f>
        <v>Um/A</v>
      </c>
      <c r="BS47" s="167" t="s">
        <v>54</v>
      </c>
      <c r="BT47" s="167" t="str">
        <f>BT39</f>
        <v>BmO</v>
      </c>
      <c r="BU47" s="167" t="s">
        <v>58</v>
      </c>
      <c r="BV47" s="665"/>
    </row>
    <row r="48" spans="2:74" ht="19" x14ac:dyDescent="0.25">
      <c r="B48" s="684"/>
      <c r="C48" s="676"/>
      <c r="D48" s="668"/>
      <c r="E48" s="168" t="s">
        <v>1</v>
      </c>
      <c r="F48" s="169"/>
      <c r="G48" s="168"/>
      <c r="H48" s="169"/>
      <c r="I48" s="169"/>
      <c r="J48" s="169"/>
      <c r="K48" s="169"/>
      <c r="L48" s="169"/>
      <c r="M48" s="169"/>
      <c r="N48" s="665"/>
      <c r="P48" s="668"/>
      <c r="Q48" s="168" t="s">
        <v>1</v>
      </c>
      <c r="R48" s="169"/>
      <c r="S48" s="168"/>
      <c r="T48" s="169"/>
      <c r="U48" s="169"/>
      <c r="V48" s="317"/>
      <c r="W48" s="317"/>
      <c r="X48" s="317"/>
      <c r="Y48" s="169"/>
      <c r="Z48" s="665"/>
      <c r="AB48" s="668"/>
      <c r="AC48" s="168" t="s">
        <v>1</v>
      </c>
      <c r="AD48" s="169"/>
      <c r="AE48" s="168"/>
      <c r="AF48" s="169"/>
      <c r="AG48" s="169"/>
      <c r="AH48" s="317"/>
      <c r="AI48" s="317"/>
      <c r="AJ48" s="317"/>
      <c r="AK48" s="169"/>
      <c r="AL48" s="665"/>
      <c r="AN48" s="668"/>
      <c r="AO48" s="168" t="s">
        <v>1</v>
      </c>
      <c r="AP48" s="169"/>
      <c r="AQ48" s="168"/>
      <c r="AR48" s="169"/>
      <c r="AS48" s="169"/>
      <c r="AT48" s="169"/>
      <c r="AU48" s="169"/>
      <c r="AV48" s="317"/>
      <c r="AW48" s="169"/>
      <c r="AX48" s="665"/>
      <c r="AZ48" s="668"/>
      <c r="BA48" s="168" t="s">
        <v>1</v>
      </c>
      <c r="BB48" s="169"/>
      <c r="BC48" s="168"/>
      <c r="BD48" s="169"/>
      <c r="BE48" s="169"/>
      <c r="BF48" s="169"/>
      <c r="BG48" s="169"/>
      <c r="BH48" s="169"/>
      <c r="BI48" s="169"/>
      <c r="BJ48" s="665"/>
      <c r="BL48" s="668"/>
      <c r="BM48" s="168" t="s">
        <v>1</v>
      </c>
      <c r="BN48" s="169"/>
      <c r="BO48" s="168"/>
      <c r="BP48" s="169"/>
      <c r="BQ48" s="169"/>
      <c r="BR48" s="169"/>
      <c r="BS48" s="169"/>
      <c r="BT48" s="169"/>
      <c r="BU48" s="169"/>
      <c r="BV48" s="665"/>
    </row>
    <row r="49" spans="2:74" ht="26" x14ac:dyDescent="0.3">
      <c r="B49" s="684"/>
      <c r="C49" s="676"/>
      <c r="D49" s="668"/>
      <c r="E49" s="170" t="str">
        <f>E41</f>
        <v>D</v>
      </c>
      <c r="F49" s="171"/>
      <c r="G49" s="170" t="str">
        <f>G41</f>
        <v>A</v>
      </c>
      <c r="H49" s="171"/>
      <c r="I49" s="171"/>
      <c r="J49" s="170" t="str">
        <f>+J47</f>
        <v>Um/A</v>
      </c>
      <c r="K49" s="171"/>
      <c r="L49" s="170" t="str">
        <f>+L47</f>
        <v>PmO</v>
      </c>
      <c r="M49" s="171"/>
      <c r="N49" s="665"/>
      <c r="P49" s="668"/>
      <c r="Q49" s="170" t="str">
        <f>Q41</f>
        <v>D</v>
      </c>
      <c r="R49" s="171"/>
      <c r="S49" s="170" t="str">
        <f>S41</f>
        <v>A</v>
      </c>
      <c r="T49" s="171"/>
      <c r="U49" s="171"/>
      <c r="V49" s="312" t="str">
        <f>+V47</f>
        <v>Um/A</v>
      </c>
      <c r="W49" s="318"/>
      <c r="X49" s="312" t="str">
        <f>+X47</f>
        <v>PmO</v>
      </c>
      <c r="Y49" s="171"/>
      <c r="Z49" s="665"/>
      <c r="AB49" s="668"/>
      <c r="AC49" s="170" t="str">
        <f>AC41</f>
        <v>D</v>
      </c>
      <c r="AD49" s="171"/>
      <c r="AE49" s="170" t="str">
        <f>AE41</f>
        <v>A</v>
      </c>
      <c r="AF49" s="171"/>
      <c r="AG49" s="171"/>
      <c r="AH49" s="312" t="str">
        <f>+AH47</f>
        <v>Um/A</v>
      </c>
      <c r="AI49" s="318"/>
      <c r="AJ49" s="312" t="str">
        <f>+AJ47</f>
        <v>PmO</v>
      </c>
      <c r="AK49" s="171"/>
      <c r="AL49" s="665"/>
      <c r="AN49" s="668"/>
      <c r="AO49" s="170" t="str">
        <f>AO41</f>
        <v>D</v>
      </c>
      <c r="AP49" s="171"/>
      <c r="AQ49" s="170" t="str">
        <f>AQ41</f>
        <v>A</v>
      </c>
      <c r="AR49" s="171"/>
      <c r="AS49" s="171"/>
      <c r="AT49" s="170" t="str">
        <f>+AT47</f>
        <v>Um/A</v>
      </c>
      <c r="AU49" s="171"/>
      <c r="AV49" s="312" t="str">
        <f>+AV47</f>
        <v>PmO</v>
      </c>
      <c r="AW49" s="171"/>
      <c r="AX49" s="665"/>
      <c r="AZ49" s="668"/>
      <c r="BA49" s="170" t="str">
        <f>BA41</f>
        <v xml:space="preserve">C </v>
      </c>
      <c r="BB49" s="171"/>
      <c r="BC49" s="170" t="str">
        <f>BC41</f>
        <v>A</v>
      </c>
      <c r="BD49" s="171"/>
      <c r="BE49" s="171"/>
      <c r="BF49" s="170" t="str">
        <f>+BF47</f>
        <v>Um/A</v>
      </c>
      <c r="BG49" s="171"/>
      <c r="BH49" s="170" t="str">
        <f>+BH47</f>
        <v>CmO</v>
      </c>
      <c r="BI49" s="171"/>
      <c r="BJ49" s="665"/>
      <c r="BL49" s="668"/>
      <c r="BM49" s="170" t="str">
        <f>BM41</f>
        <v xml:space="preserve">B </v>
      </c>
      <c r="BN49" s="171"/>
      <c r="BO49" s="170" t="str">
        <f>BO41</f>
        <v>A</v>
      </c>
      <c r="BP49" s="171"/>
      <c r="BQ49" s="171"/>
      <c r="BR49" s="170" t="str">
        <f>+BR47</f>
        <v>Um/A</v>
      </c>
      <c r="BS49" s="171"/>
      <c r="BT49" s="170" t="str">
        <f>+BT47</f>
        <v>BmO</v>
      </c>
      <c r="BU49" s="171"/>
      <c r="BV49" s="665"/>
    </row>
    <row r="50" spans="2:74" ht="21" x14ac:dyDescent="0.25">
      <c r="B50" s="684"/>
      <c r="C50" s="676"/>
      <c r="D50" s="668"/>
      <c r="E50" s="158">
        <f>+Q50+AC50+AO50</f>
        <v>3394.7200000000003</v>
      </c>
      <c r="F50" s="167" t="s">
        <v>52</v>
      </c>
      <c r="G50" s="159">
        <f>'% Occupation'!I19</f>
        <v>196</v>
      </c>
      <c r="H50" s="167" t="s">
        <v>54</v>
      </c>
      <c r="I50" s="167" t="s">
        <v>55</v>
      </c>
      <c r="J50" s="160">
        <f>+V50+AH50+AT50</f>
        <v>2.1</v>
      </c>
      <c r="K50" s="167" t="s">
        <v>54</v>
      </c>
      <c r="L50" s="158">
        <f>E50/G50/J50</f>
        <v>8.2476190476190467</v>
      </c>
      <c r="M50" s="167" t="s">
        <v>58</v>
      </c>
      <c r="N50" s="665"/>
      <c r="P50" s="668"/>
      <c r="Q50" s="158">
        <f>+S50*(V50*X50)</f>
        <v>944.06666666666683</v>
      </c>
      <c r="R50" s="167" t="s">
        <v>52</v>
      </c>
      <c r="S50" s="159">
        <f>G50</f>
        <v>196</v>
      </c>
      <c r="T50" s="167" t="s">
        <v>54</v>
      </c>
      <c r="U50" s="167" t="s">
        <v>55</v>
      </c>
      <c r="V50" s="301">
        <f>'Calcul CmO et PmO'!L236</f>
        <v>1</v>
      </c>
      <c r="W50" s="311" t="s">
        <v>54</v>
      </c>
      <c r="X50" s="302">
        <f>'Calcul CmO et PmO'!F236</f>
        <v>4.8166666666666673</v>
      </c>
      <c r="Y50" s="167" t="s">
        <v>58</v>
      </c>
      <c r="Z50" s="665"/>
      <c r="AB50" s="668"/>
      <c r="AC50" s="158">
        <f>+AE50*(AH50*AJ50)</f>
        <v>1868.5333333333333</v>
      </c>
      <c r="AD50" s="167" t="s">
        <v>52</v>
      </c>
      <c r="AE50" s="159">
        <f>S50</f>
        <v>196</v>
      </c>
      <c r="AF50" s="167" t="s">
        <v>54</v>
      </c>
      <c r="AG50" s="167" t="s">
        <v>55</v>
      </c>
      <c r="AH50" s="301">
        <f>'Calcul CmO et PmO'!L251</f>
        <v>1</v>
      </c>
      <c r="AI50" s="311" t="s">
        <v>54</v>
      </c>
      <c r="AJ50" s="302">
        <f>'Calcul CmO et PmO'!F251</f>
        <v>9.5333333333333332</v>
      </c>
      <c r="AK50" s="167" t="s">
        <v>58</v>
      </c>
      <c r="AL50" s="665"/>
      <c r="AN50" s="668"/>
      <c r="AO50" s="158">
        <f>+AQ50*(AT50*AV50)</f>
        <v>582.12</v>
      </c>
      <c r="AP50" s="167" t="s">
        <v>52</v>
      </c>
      <c r="AQ50" s="159">
        <f>AE50</f>
        <v>196</v>
      </c>
      <c r="AR50" s="167" t="s">
        <v>54</v>
      </c>
      <c r="AS50" s="167" t="s">
        <v>55</v>
      </c>
      <c r="AT50" s="161">
        <v>0.1</v>
      </c>
      <c r="AU50" s="167" t="s">
        <v>54</v>
      </c>
      <c r="AV50" s="302">
        <f>'Calcul CmO, PmO, Etc.'!E28</f>
        <v>29.7</v>
      </c>
      <c r="AW50" s="167" t="s">
        <v>58</v>
      </c>
      <c r="AX50" s="665"/>
      <c r="AZ50" s="668"/>
      <c r="BA50" s="158">
        <f>+BC50*(BF50*BH50)</f>
        <v>0</v>
      </c>
      <c r="BB50" s="167" t="s">
        <v>52</v>
      </c>
      <c r="BC50" s="159">
        <f>G50</f>
        <v>196</v>
      </c>
      <c r="BD50" s="167" t="s">
        <v>54</v>
      </c>
      <c r="BE50" s="167" t="s">
        <v>55</v>
      </c>
      <c r="BF50" s="160">
        <f>J50</f>
        <v>2.1</v>
      </c>
      <c r="BG50" s="167" t="s">
        <v>54</v>
      </c>
      <c r="BH50" s="208">
        <v>0</v>
      </c>
      <c r="BI50" s="167" t="s">
        <v>58</v>
      </c>
      <c r="BJ50" s="665"/>
      <c r="BL50" s="668"/>
      <c r="BM50" s="158">
        <f>E50-BA50</f>
        <v>3394.7200000000003</v>
      </c>
      <c r="BN50" s="167" t="s">
        <v>52</v>
      </c>
      <c r="BO50" s="159">
        <f>S50</f>
        <v>196</v>
      </c>
      <c r="BP50" s="167" t="s">
        <v>54</v>
      </c>
      <c r="BQ50" s="167" t="s">
        <v>55</v>
      </c>
      <c r="BR50" s="160">
        <f>J50</f>
        <v>2.1</v>
      </c>
      <c r="BS50" s="167" t="s">
        <v>54</v>
      </c>
      <c r="BT50" s="158">
        <f>BM50/BO50/BR50</f>
        <v>8.2476190476190467</v>
      </c>
      <c r="BU50" s="167" t="s">
        <v>58</v>
      </c>
      <c r="BV50" s="665"/>
    </row>
    <row r="51" spans="2:74" ht="17" thickBot="1" x14ac:dyDescent="0.25">
      <c r="B51" s="685"/>
      <c r="C51" s="676"/>
      <c r="D51" s="669"/>
      <c r="E51" s="172"/>
      <c r="F51" s="172"/>
      <c r="G51" s="172"/>
      <c r="H51" s="172"/>
      <c r="I51" s="172"/>
      <c r="J51" s="172"/>
      <c r="K51" s="172"/>
      <c r="L51" s="172"/>
      <c r="M51" s="172"/>
      <c r="N51" s="666"/>
      <c r="P51" s="669"/>
      <c r="Q51" s="172"/>
      <c r="R51" s="172"/>
      <c r="S51" s="172"/>
      <c r="T51" s="172"/>
      <c r="U51" s="172"/>
      <c r="V51" s="319"/>
      <c r="W51" s="319"/>
      <c r="X51" s="319"/>
      <c r="Y51" s="172"/>
      <c r="Z51" s="666"/>
      <c r="AB51" s="669"/>
      <c r="AC51" s="172"/>
      <c r="AD51" s="172"/>
      <c r="AE51" s="172"/>
      <c r="AF51" s="172"/>
      <c r="AG51" s="172"/>
      <c r="AH51" s="319"/>
      <c r="AI51" s="319"/>
      <c r="AJ51" s="319"/>
      <c r="AK51" s="172"/>
      <c r="AL51" s="666"/>
      <c r="AN51" s="669"/>
      <c r="AO51" s="172"/>
      <c r="AP51" s="172"/>
      <c r="AQ51" s="172"/>
      <c r="AR51" s="172"/>
      <c r="AS51" s="172"/>
      <c r="AT51" s="172"/>
      <c r="AU51" s="172"/>
      <c r="AV51" s="417"/>
      <c r="AW51" s="172"/>
      <c r="AX51" s="666"/>
      <c r="AZ51" s="669"/>
      <c r="BA51" s="172"/>
      <c r="BB51" s="172"/>
      <c r="BC51" s="172"/>
      <c r="BD51" s="172"/>
      <c r="BE51" s="172"/>
      <c r="BF51" s="172"/>
      <c r="BG51" s="172"/>
      <c r="BH51" s="172"/>
      <c r="BI51" s="172"/>
      <c r="BJ51" s="666"/>
      <c r="BL51" s="669"/>
      <c r="BM51" s="172"/>
      <c r="BN51" s="172"/>
      <c r="BO51" s="172"/>
      <c r="BP51" s="172"/>
      <c r="BQ51" s="172"/>
      <c r="BR51" s="172"/>
      <c r="BS51" s="172"/>
      <c r="BT51" s="172"/>
      <c r="BU51" s="172"/>
      <c r="BV51" s="666"/>
    </row>
    <row r="52" spans="2:74" ht="10" customHeight="1" thickBot="1" x14ac:dyDescent="0.2">
      <c r="B52" s="149" t="s">
        <v>1</v>
      </c>
      <c r="C52" s="150"/>
      <c r="V52" s="307"/>
      <c r="W52" s="307"/>
      <c r="X52" s="307"/>
      <c r="AH52" s="307"/>
      <c r="AI52" s="307"/>
      <c r="AJ52" s="307"/>
      <c r="AV52" s="307"/>
    </row>
    <row r="53" spans="2:74" ht="17" thickTop="1" x14ac:dyDescent="0.2">
      <c r="B53" s="673" t="s">
        <v>1</v>
      </c>
      <c r="C53" s="663">
        <v>7</v>
      </c>
      <c r="D53" s="657" t="s">
        <v>49</v>
      </c>
      <c r="E53" s="173"/>
      <c r="F53" s="173"/>
      <c r="G53" s="212" t="str">
        <f>'Achalandage journalier'!J5</f>
        <v>Pér.07</v>
      </c>
      <c r="H53" s="173"/>
      <c r="I53" s="173"/>
      <c r="J53" s="173"/>
      <c r="K53" s="173"/>
      <c r="L53" s="173"/>
      <c r="M53" s="173"/>
      <c r="N53" s="660" t="s">
        <v>50</v>
      </c>
      <c r="P53" s="674" t="s">
        <v>49</v>
      </c>
      <c r="Q53" s="174"/>
      <c r="R53" s="174"/>
      <c r="S53" s="215" t="str">
        <f>G53</f>
        <v>Pér.07</v>
      </c>
      <c r="T53" s="174"/>
      <c r="U53" s="174"/>
      <c r="V53" s="322"/>
      <c r="W53" s="322"/>
      <c r="X53" s="322"/>
      <c r="Y53" s="174"/>
      <c r="Z53" s="675" t="s">
        <v>50</v>
      </c>
      <c r="AB53" s="657" t="s">
        <v>49</v>
      </c>
      <c r="AC53" s="173"/>
      <c r="AD53" s="173"/>
      <c r="AE53" s="212" t="str">
        <f>S53</f>
        <v>Pér.07</v>
      </c>
      <c r="AF53" s="173"/>
      <c r="AG53" s="173"/>
      <c r="AH53" s="325"/>
      <c r="AI53" s="325"/>
      <c r="AJ53" s="325"/>
      <c r="AK53" s="173"/>
      <c r="AL53" s="660" t="s">
        <v>50</v>
      </c>
      <c r="AN53" s="657" t="s">
        <v>49</v>
      </c>
      <c r="AO53" s="173"/>
      <c r="AP53" s="173"/>
      <c r="AQ53" s="212" t="str">
        <f>AE53</f>
        <v>Pér.07</v>
      </c>
      <c r="AR53" s="173"/>
      <c r="AS53" s="173"/>
      <c r="AT53" s="173"/>
      <c r="AU53" s="173"/>
      <c r="AV53" s="418"/>
      <c r="AW53" s="173"/>
      <c r="AX53" s="660" t="s">
        <v>50</v>
      </c>
      <c r="AZ53" s="657" t="s">
        <v>49</v>
      </c>
      <c r="BA53" s="173"/>
      <c r="BB53" s="173"/>
      <c r="BC53" s="212" t="str">
        <f>AQ53</f>
        <v>Pér.07</v>
      </c>
      <c r="BD53" s="173"/>
      <c r="BE53" s="173"/>
      <c r="BF53" s="173"/>
      <c r="BG53" s="173"/>
      <c r="BH53" s="173"/>
      <c r="BI53" s="173"/>
      <c r="BJ53" s="660" t="s">
        <v>50</v>
      </c>
      <c r="BL53" s="657" t="s">
        <v>49</v>
      </c>
      <c r="BM53" s="173"/>
      <c r="BN53" s="173"/>
      <c r="BO53" s="212" t="str">
        <f>BC53</f>
        <v>Pér.07</v>
      </c>
      <c r="BP53" s="173"/>
      <c r="BQ53" s="173"/>
      <c r="BR53" s="173"/>
      <c r="BS53" s="173"/>
      <c r="BT53" s="173"/>
      <c r="BU53" s="173"/>
      <c r="BV53" s="660" t="s">
        <v>50</v>
      </c>
    </row>
    <row r="54" spans="2:74" ht="16" x14ac:dyDescent="0.2">
      <c r="B54" s="673"/>
      <c r="C54" s="663"/>
      <c r="D54" s="658"/>
      <c r="E54" s="174"/>
      <c r="F54" s="174"/>
      <c r="G54" s="174"/>
      <c r="H54" s="174"/>
      <c r="I54" s="174"/>
      <c r="J54" s="174"/>
      <c r="K54" s="174"/>
      <c r="L54" s="174"/>
      <c r="M54" s="174"/>
      <c r="N54" s="661"/>
      <c r="P54" s="658"/>
      <c r="Q54" s="174"/>
      <c r="R54" s="174"/>
      <c r="S54" s="174"/>
      <c r="T54" s="174"/>
      <c r="U54" s="174"/>
      <c r="V54" s="322"/>
      <c r="W54" s="322"/>
      <c r="X54" s="322"/>
      <c r="Y54" s="174"/>
      <c r="Z54" s="661"/>
      <c r="AB54" s="658"/>
      <c r="AC54" s="174"/>
      <c r="AD54" s="174"/>
      <c r="AE54" s="174"/>
      <c r="AF54" s="174"/>
      <c r="AG54" s="174"/>
      <c r="AH54" s="322"/>
      <c r="AI54" s="322"/>
      <c r="AJ54" s="322"/>
      <c r="AK54" s="174"/>
      <c r="AL54" s="661"/>
      <c r="AN54" s="658"/>
      <c r="AO54" s="174"/>
      <c r="AP54" s="174"/>
      <c r="AQ54" s="174"/>
      <c r="AR54" s="174"/>
      <c r="AS54" s="174"/>
      <c r="AT54" s="174"/>
      <c r="AU54" s="174"/>
      <c r="AV54" s="419"/>
      <c r="AW54" s="174"/>
      <c r="AX54" s="661"/>
      <c r="AZ54" s="658"/>
      <c r="BA54" s="174"/>
      <c r="BB54" s="174"/>
      <c r="BC54" s="174"/>
      <c r="BD54" s="174"/>
      <c r="BE54" s="174"/>
      <c r="BF54" s="174"/>
      <c r="BG54" s="174"/>
      <c r="BH54" s="174"/>
      <c r="BI54" s="174"/>
      <c r="BJ54" s="661"/>
      <c r="BL54" s="658"/>
      <c r="BM54" s="174"/>
      <c r="BN54" s="174"/>
      <c r="BO54" s="174"/>
      <c r="BP54" s="174"/>
      <c r="BQ54" s="174"/>
      <c r="BR54" s="174"/>
      <c r="BS54" s="174"/>
      <c r="BT54" s="174"/>
      <c r="BU54" s="174"/>
      <c r="BV54" s="661"/>
    </row>
    <row r="55" spans="2:74" ht="21" x14ac:dyDescent="0.25">
      <c r="B55" s="673"/>
      <c r="C55" s="663"/>
      <c r="D55" s="658"/>
      <c r="E55" s="175" t="str">
        <f>E47</f>
        <v>Demande mensuelle</v>
      </c>
      <c r="F55" s="175" t="s">
        <v>52</v>
      </c>
      <c r="G55" s="175" t="str">
        <f>G47</f>
        <v>Achalandage mensuel</v>
      </c>
      <c r="H55" s="175" t="s">
        <v>54</v>
      </c>
      <c r="I55" s="175" t="s">
        <v>55</v>
      </c>
      <c r="J55" s="175" t="str">
        <f>J47</f>
        <v>Um/A</v>
      </c>
      <c r="K55" s="175" t="s">
        <v>54</v>
      </c>
      <c r="L55" s="175" t="str">
        <f>L47</f>
        <v>PmO</v>
      </c>
      <c r="M55" s="175" t="s">
        <v>58</v>
      </c>
      <c r="N55" s="661"/>
      <c r="P55" s="658"/>
      <c r="Q55" s="175" t="str">
        <f>Q47</f>
        <v>Demande mensuelle</v>
      </c>
      <c r="R55" s="175" t="s">
        <v>52</v>
      </c>
      <c r="S55" s="175" t="str">
        <f>S47</f>
        <v>Achalandage mensuel</v>
      </c>
      <c r="T55" s="175" t="s">
        <v>54</v>
      </c>
      <c r="U55" s="175" t="s">
        <v>55</v>
      </c>
      <c r="V55" s="313" t="str">
        <f>V47</f>
        <v>Um/A</v>
      </c>
      <c r="W55" s="313" t="s">
        <v>54</v>
      </c>
      <c r="X55" s="313" t="str">
        <f>X47</f>
        <v>PmO</v>
      </c>
      <c r="Y55" s="175" t="s">
        <v>58</v>
      </c>
      <c r="Z55" s="661"/>
      <c r="AB55" s="658"/>
      <c r="AC55" s="175" t="str">
        <f>AC47</f>
        <v>Demande mensuelle</v>
      </c>
      <c r="AD55" s="175" t="s">
        <v>52</v>
      </c>
      <c r="AE55" s="175" t="str">
        <f>AE47</f>
        <v>Achalandage mensuel</v>
      </c>
      <c r="AF55" s="175" t="s">
        <v>54</v>
      </c>
      <c r="AG55" s="175" t="s">
        <v>55</v>
      </c>
      <c r="AH55" s="313" t="str">
        <f>AH47</f>
        <v>Um/A</v>
      </c>
      <c r="AI55" s="313" t="s">
        <v>54</v>
      </c>
      <c r="AJ55" s="313" t="str">
        <f>AJ47</f>
        <v>PmO</v>
      </c>
      <c r="AK55" s="175" t="s">
        <v>58</v>
      </c>
      <c r="AL55" s="661"/>
      <c r="AN55" s="658"/>
      <c r="AO55" s="175" t="str">
        <f>AO47</f>
        <v>Demande mensuelle</v>
      </c>
      <c r="AP55" s="175" t="s">
        <v>52</v>
      </c>
      <c r="AQ55" s="175" t="str">
        <f>AQ47</f>
        <v>Achalandage mensuel</v>
      </c>
      <c r="AR55" s="175" t="s">
        <v>54</v>
      </c>
      <c r="AS55" s="175" t="s">
        <v>55</v>
      </c>
      <c r="AT55" s="175" t="str">
        <f>AT47</f>
        <v>Um/A</v>
      </c>
      <c r="AU55" s="175" t="s">
        <v>54</v>
      </c>
      <c r="AV55" s="313" t="str">
        <f>AV47</f>
        <v>PmO</v>
      </c>
      <c r="AW55" s="175" t="s">
        <v>58</v>
      </c>
      <c r="AX55" s="661"/>
      <c r="AZ55" s="658"/>
      <c r="BA55" s="175" t="str">
        <f>BA47</f>
        <v>Coût mensuel</v>
      </c>
      <c r="BB55" s="175" t="s">
        <v>52</v>
      </c>
      <c r="BC55" s="175" t="str">
        <f>BC47</f>
        <v>Achalandage mensuel</v>
      </c>
      <c r="BD55" s="175" t="s">
        <v>54</v>
      </c>
      <c r="BE55" s="175" t="s">
        <v>55</v>
      </c>
      <c r="BF55" s="175" t="s">
        <v>56</v>
      </c>
      <c r="BG55" s="175" t="s">
        <v>54</v>
      </c>
      <c r="BH55" s="175" t="str">
        <f>BH47</f>
        <v>CmO</v>
      </c>
      <c r="BI55" s="175" t="s">
        <v>58</v>
      </c>
      <c r="BJ55" s="661"/>
      <c r="BL55" s="658"/>
      <c r="BM55" s="175" t="str">
        <f>BM47</f>
        <v>Bénéfice mensuel</v>
      </c>
      <c r="BN55" s="175" t="s">
        <v>52</v>
      </c>
      <c r="BO55" s="175" t="str">
        <f>BO47</f>
        <v>Achalandage mensuel</v>
      </c>
      <c r="BP55" s="175" t="s">
        <v>54</v>
      </c>
      <c r="BQ55" s="175" t="s">
        <v>55</v>
      </c>
      <c r="BR55" s="175" t="s">
        <v>56</v>
      </c>
      <c r="BS55" s="175" t="s">
        <v>54</v>
      </c>
      <c r="BT55" s="175" t="str">
        <f>BT47</f>
        <v>BmO</v>
      </c>
      <c r="BU55" s="175" t="s">
        <v>58</v>
      </c>
      <c r="BV55" s="661"/>
    </row>
    <row r="56" spans="2:74" ht="19" x14ac:dyDescent="0.25">
      <c r="B56" s="673"/>
      <c r="C56" s="663"/>
      <c r="D56" s="658"/>
      <c r="E56" s="176" t="s">
        <v>1</v>
      </c>
      <c r="F56" s="177"/>
      <c r="G56" s="176"/>
      <c r="H56" s="177"/>
      <c r="I56" s="177"/>
      <c r="J56" s="177"/>
      <c r="K56" s="177"/>
      <c r="L56" s="177"/>
      <c r="M56" s="177"/>
      <c r="N56" s="661"/>
      <c r="P56" s="658"/>
      <c r="Q56" s="176" t="s">
        <v>1</v>
      </c>
      <c r="R56" s="177"/>
      <c r="S56" s="176"/>
      <c r="T56" s="177"/>
      <c r="U56" s="177"/>
      <c r="V56" s="323"/>
      <c r="W56" s="323"/>
      <c r="X56" s="323"/>
      <c r="Y56" s="177"/>
      <c r="Z56" s="661"/>
      <c r="AB56" s="658"/>
      <c r="AC56" s="176" t="s">
        <v>1</v>
      </c>
      <c r="AD56" s="177"/>
      <c r="AE56" s="176"/>
      <c r="AF56" s="177"/>
      <c r="AG56" s="177"/>
      <c r="AH56" s="323"/>
      <c r="AI56" s="323"/>
      <c r="AJ56" s="323"/>
      <c r="AK56" s="177"/>
      <c r="AL56" s="661"/>
      <c r="AN56" s="658"/>
      <c r="AO56" s="176" t="s">
        <v>1</v>
      </c>
      <c r="AP56" s="177"/>
      <c r="AQ56" s="176"/>
      <c r="AR56" s="177"/>
      <c r="AS56" s="177"/>
      <c r="AT56" s="177"/>
      <c r="AU56" s="177"/>
      <c r="AV56" s="323"/>
      <c r="AW56" s="177"/>
      <c r="AX56" s="661"/>
      <c r="AZ56" s="658"/>
      <c r="BA56" s="176" t="s">
        <v>1</v>
      </c>
      <c r="BB56" s="177"/>
      <c r="BC56" s="176"/>
      <c r="BD56" s="177"/>
      <c r="BE56" s="177"/>
      <c r="BF56" s="177"/>
      <c r="BG56" s="177"/>
      <c r="BH56" s="177"/>
      <c r="BI56" s="177"/>
      <c r="BJ56" s="661"/>
      <c r="BL56" s="658"/>
      <c r="BM56" s="176" t="s">
        <v>1</v>
      </c>
      <c r="BN56" s="177"/>
      <c r="BO56" s="176"/>
      <c r="BP56" s="177"/>
      <c r="BQ56" s="177"/>
      <c r="BR56" s="177"/>
      <c r="BS56" s="177"/>
      <c r="BT56" s="177"/>
      <c r="BU56" s="177"/>
      <c r="BV56" s="661"/>
    </row>
    <row r="57" spans="2:74" ht="26" x14ac:dyDescent="0.3">
      <c r="B57" s="673"/>
      <c r="C57" s="663"/>
      <c r="D57" s="658"/>
      <c r="E57" s="178" t="str">
        <f>E49</f>
        <v>D</v>
      </c>
      <c r="F57" s="179"/>
      <c r="G57" s="178" t="str">
        <f>G49</f>
        <v>A</v>
      </c>
      <c r="H57" s="179"/>
      <c r="I57" s="179"/>
      <c r="J57" s="178" t="str">
        <f>+J55</f>
        <v>Um/A</v>
      </c>
      <c r="K57" s="179"/>
      <c r="L57" s="178" t="str">
        <f>+L55</f>
        <v>PmO</v>
      </c>
      <c r="M57" s="179"/>
      <c r="N57" s="661"/>
      <c r="P57" s="658"/>
      <c r="Q57" s="178" t="str">
        <f>Q49</f>
        <v>D</v>
      </c>
      <c r="R57" s="179"/>
      <c r="S57" s="178" t="str">
        <f>S49</f>
        <v>A</v>
      </c>
      <c r="T57" s="179"/>
      <c r="U57" s="179"/>
      <c r="V57" s="314" t="str">
        <f>+V55</f>
        <v>Um/A</v>
      </c>
      <c r="W57" s="324"/>
      <c r="X57" s="314" t="str">
        <f>+X55</f>
        <v>PmO</v>
      </c>
      <c r="Y57" s="179"/>
      <c r="Z57" s="661"/>
      <c r="AB57" s="658"/>
      <c r="AC57" s="178" t="str">
        <f>AC49</f>
        <v>D</v>
      </c>
      <c r="AD57" s="179"/>
      <c r="AE57" s="178" t="str">
        <f>AE49</f>
        <v>A</v>
      </c>
      <c r="AF57" s="179"/>
      <c r="AG57" s="179"/>
      <c r="AH57" s="314" t="str">
        <f>+AH55</f>
        <v>Um/A</v>
      </c>
      <c r="AI57" s="324"/>
      <c r="AJ57" s="314" t="str">
        <f>+AJ55</f>
        <v>PmO</v>
      </c>
      <c r="AK57" s="179"/>
      <c r="AL57" s="661"/>
      <c r="AN57" s="658"/>
      <c r="AO57" s="178" t="str">
        <f>AO49</f>
        <v>D</v>
      </c>
      <c r="AP57" s="179"/>
      <c r="AQ57" s="178" t="str">
        <f>AQ49</f>
        <v>A</v>
      </c>
      <c r="AR57" s="179"/>
      <c r="AS57" s="179"/>
      <c r="AT57" s="178" t="str">
        <f>+AT55</f>
        <v>Um/A</v>
      </c>
      <c r="AU57" s="179"/>
      <c r="AV57" s="314" t="str">
        <f>+AV55</f>
        <v>PmO</v>
      </c>
      <c r="AW57" s="179"/>
      <c r="AX57" s="661"/>
      <c r="AZ57" s="658"/>
      <c r="BA57" s="178" t="str">
        <f>BA49</f>
        <v xml:space="preserve">C </v>
      </c>
      <c r="BB57" s="179"/>
      <c r="BC57" s="178" t="str">
        <f>BC49</f>
        <v>A</v>
      </c>
      <c r="BD57" s="179"/>
      <c r="BE57" s="179"/>
      <c r="BF57" s="178" t="str">
        <f>+BF55</f>
        <v>Um/A</v>
      </c>
      <c r="BG57" s="179"/>
      <c r="BH57" s="178" t="str">
        <f>+BH55</f>
        <v>CmO</v>
      </c>
      <c r="BI57" s="179"/>
      <c r="BJ57" s="661"/>
      <c r="BL57" s="658"/>
      <c r="BM57" s="178" t="str">
        <f>BM49</f>
        <v xml:space="preserve">B </v>
      </c>
      <c r="BN57" s="179"/>
      <c r="BO57" s="178" t="str">
        <f>BO49</f>
        <v>A</v>
      </c>
      <c r="BP57" s="179"/>
      <c r="BQ57" s="179"/>
      <c r="BR57" s="178" t="str">
        <f>+BR55</f>
        <v>Um/A</v>
      </c>
      <c r="BS57" s="179"/>
      <c r="BT57" s="178" t="str">
        <f>+BT55</f>
        <v>BmO</v>
      </c>
      <c r="BU57" s="179"/>
      <c r="BV57" s="661"/>
    </row>
    <row r="58" spans="2:74" ht="21" x14ac:dyDescent="0.25">
      <c r="B58" s="673"/>
      <c r="C58" s="663"/>
      <c r="D58" s="658"/>
      <c r="E58" s="158">
        <f>+Q58+AC58+AO58</f>
        <v>3394.7200000000003</v>
      </c>
      <c r="F58" s="175" t="s">
        <v>52</v>
      </c>
      <c r="G58" s="159">
        <f>'% Occupation'!J19</f>
        <v>196</v>
      </c>
      <c r="H58" s="175" t="s">
        <v>54</v>
      </c>
      <c r="I58" s="175" t="s">
        <v>55</v>
      </c>
      <c r="J58" s="160">
        <f>+V58+AH58+AT58</f>
        <v>2.1</v>
      </c>
      <c r="K58" s="175" t="s">
        <v>54</v>
      </c>
      <c r="L58" s="158">
        <f>E58/G58/J58</f>
        <v>8.2476190476190467</v>
      </c>
      <c r="M58" s="175" t="s">
        <v>58</v>
      </c>
      <c r="N58" s="661"/>
      <c r="P58" s="658"/>
      <c r="Q58" s="158">
        <f>+S58*(V58*X58)</f>
        <v>944.06666666666683</v>
      </c>
      <c r="R58" s="175" t="s">
        <v>52</v>
      </c>
      <c r="S58" s="159">
        <f>G58</f>
        <v>196</v>
      </c>
      <c r="T58" s="175" t="s">
        <v>54</v>
      </c>
      <c r="U58" s="175" t="s">
        <v>55</v>
      </c>
      <c r="V58" s="301">
        <f>'Calcul CmO et PmO'!L279</f>
        <v>1</v>
      </c>
      <c r="W58" s="313" t="s">
        <v>54</v>
      </c>
      <c r="X58" s="302">
        <f>'Calcul CmO et PmO'!F279</f>
        <v>4.8166666666666673</v>
      </c>
      <c r="Y58" s="175" t="s">
        <v>58</v>
      </c>
      <c r="Z58" s="661"/>
      <c r="AB58" s="658"/>
      <c r="AC58" s="158">
        <f>+AE58*(AH58*AJ58)</f>
        <v>1868.5333333333333</v>
      </c>
      <c r="AD58" s="175" t="s">
        <v>52</v>
      </c>
      <c r="AE58" s="159">
        <f>S58</f>
        <v>196</v>
      </c>
      <c r="AF58" s="175" t="s">
        <v>54</v>
      </c>
      <c r="AG58" s="175" t="s">
        <v>55</v>
      </c>
      <c r="AH58" s="301">
        <f>'Calcul CmO et PmO'!L294</f>
        <v>1</v>
      </c>
      <c r="AI58" s="313" t="s">
        <v>54</v>
      </c>
      <c r="AJ58" s="302">
        <f>'Calcul CmO et PmO'!F294</f>
        <v>9.5333333333333332</v>
      </c>
      <c r="AK58" s="175" t="s">
        <v>58</v>
      </c>
      <c r="AL58" s="661"/>
      <c r="AN58" s="658"/>
      <c r="AO58" s="158">
        <f>+AQ58*(AT58*AV58)</f>
        <v>582.12</v>
      </c>
      <c r="AP58" s="175" t="s">
        <v>52</v>
      </c>
      <c r="AQ58" s="159">
        <f>AE58</f>
        <v>196</v>
      </c>
      <c r="AR58" s="175" t="s">
        <v>54</v>
      </c>
      <c r="AS58" s="175" t="s">
        <v>55</v>
      </c>
      <c r="AT58" s="161">
        <v>0.1</v>
      </c>
      <c r="AU58" s="175" t="s">
        <v>54</v>
      </c>
      <c r="AV58" s="302">
        <f>'Calcul CmO, PmO, Etc.'!E28</f>
        <v>29.7</v>
      </c>
      <c r="AW58" s="175" t="s">
        <v>58</v>
      </c>
      <c r="AX58" s="661"/>
      <c r="AZ58" s="658"/>
      <c r="BA58" s="158">
        <f>+BC58*(BF58*BH58)</f>
        <v>0</v>
      </c>
      <c r="BB58" s="175" t="s">
        <v>52</v>
      </c>
      <c r="BC58" s="159">
        <f>G58</f>
        <v>196</v>
      </c>
      <c r="BD58" s="175" t="s">
        <v>54</v>
      </c>
      <c r="BE58" s="175" t="s">
        <v>55</v>
      </c>
      <c r="BF58" s="160">
        <f>J58</f>
        <v>2.1</v>
      </c>
      <c r="BG58" s="175" t="s">
        <v>54</v>
      </c>
      <c r="BH58" s="208">
        <v>0</v>
      </c>
      <c r="BI58" s="175" t="s">
        <v>58</v>
      </c>
      <c r="BJ58" s="661"/>
      <c r="BL58" s="658"/>
      <c r="BM58" s="158">
        <f>E58-BA58</f>
        <v>3394.7200000000003</v>
      </c>
      <c r="BN58" s="175" t="s">
        <v>52</v>
      </c>
      <c r="BO58" s="159">
        <f>G58</f>
        <v>196</v>
      </c>
      <c r="BP58" s="175" t="s">
        <v>54</v>
      </c>
      <c r="BQ58" s="175" t="s">
        <v>55</v>
      </c>
      <c r="BR58" s="160">
        <f>J58</f>
        <v>2.1</v>
      </c>
      <c r="BS58" s="175" t="s">
        <v>54</v>
      </c>
      <c r="BT58" s="158">
        <f>BM58/BO58/BR58</f>
        <v>8.2476190476190467</v>
      </c>
      <c r="BU58" s="175" t="s">
        <v>58</v>
      </c>
      <c r="BV58" s="661"/>
    </row>
    <row r="59" spans="2:74" ht="17" thickBot="1" x14ac:dyDescent="0.25">
      <c r="B59" s="673"/>
      <c r="C59" s="663"/>
      <c r="D59" s="659"/>
      <c r="E59" s="180"/>
      <c r="F59" s="180"/>
      <c r="G59" s="180"/>
      <c r="H59" s="180"/>
      <c r="I59" s="180"/>
      <c r="J59" s="180"/>
      <c r="K59" s="180"/>
      <c r="L59" s="180"/>
      <c r="M59" s="180"/>
      <c r="N59" s="662"/>
      <c r="P59" s="658"/>
      <c r="Q59" s="179"/>
      <c r="R59" s="179"/>
      <c r="S59" s="179"/>
      <c r="T59" s="179"/>
      <c r="U59" s="179"/>
      <c r="V59" s="324"/>
      <c r="W59" s="324"/>
      <c r="X59" s="324"/>
      <c r="Y59" s="179"/>
      <c r="Z59" s="661"/>
      <c r="AB59" s="659"/>
      <c r="AC59" s="180"/>
      <c r="AD59" s="180"/>
      <c r="AE59" s="180"/>
      <c r="AF59" s="180"/>
      <c r="AG59" s="180"/>
      <c r="AH59" s="326"/>
      <c r="AI59" s="326"/>
      <c r="AJ59" s="326"/>
      <c r="AK59" s="180"/>
      <c r="AL59" s="662"/>
      <c r="AN59" s="659"/>
      <c r="AO59" s="180"/>
      <c r="AP59" s="180"/>
      <c r="AQ59" s="180"/>
      <c r="AR59" s="180"/>
      <c r="AS59" s="180"/>
      <c r="AT59" s="180"/>
      <c r="AU59" s="180"/>
      <c r="AV59" s="420"/>
      <c r="AW59" s="180"/>
      <c r="AX59" s="662"/>
      <c r="AZ59" s="659"/>
      <c r="BA59" s="180"/>
      <c r="BB59" s="180"/>
      <c r="BC59" s="180"/>
      <c r="BD59" s="180"/>
      <c r="BE59" s="180"/>
      <c r="BF59" s="180"/>
      <c r="BG59" s="180"/>
      <c r="BH59" s="180"/>
      <c r="BI59" s="180"/>
      <c r="BJ59" s="662"/>
      <c r="BL59" s="659"/>
      <c r="BM59" s="180"/>
      <c r="BN59" s="180"/>
      <c r="BO59" s="180"/>
      <c r="BP59" s="180"/>
      <c r="BQ59" s="180"/>
      <c r="BR59" s="180"/>
      <c r="BS59" s="180"/>
      <c r="BT59" s="180"/>
      <c r="BU59" s="180"/>
      <c r="BV59" s="662"/>
    </row>
    <row r="60" spans="2:74" ht="5" customHeight="1" thickTop="1" thickBot="1" x14ac:dyDescent="0.25">
      <c r="B60" s="673"/>
      <c r="C60" s="181"/>
      <c r="D60" s="182"/>
      <c r="V60" s="307"/>
      <c r="W60" s="307"/>
      <c r="X60" s="307"/>
      <c r="AH60" s="307"/>
      <c r="AI60" s="307"/>
      <c r="AJ60" s="307"/>
      <c r="AV60" s="307"/>
      <c r="AZ60" s="182"/>
      <c r="BL60" s="182"/>
    </row>
    <row r="61" spans="2:74" ht="17" thickTop="1" x14ac:dyDescent="0.2">
      <c r="B61" s="673"/>
      <c r="C61" s="663">
        <v>8</v>
      </c>
      <c r="D61" s="657" t="s">
        <v>49</v>
      </c>
      <c r="E61" s="173"/>
      <c r="F61" s="173"/>
      <c r="G61" s="212" t="str">
        <f>'Achalandage journalier'!K5</f>
        <v>Pér.08</v>
      </c>
      <c r="H61" s="173"/>
      <c r="I61" s="173"/>
      <c r="J61" s="173"/>
      <c r="K61" s="173"/>
      <c r="L61" s="173"/>
      <c r="M61" s="173"/>
      <c r="N61" s="660" t="s">
        <v>50</v>
      </c>
      <c r="P61" s="657" t="s">
        <v>49</v>
      </c>
      <c r="Q61" s="173"/>
      <c r="R61" s="173"/>
      <c r="S61" s="212" t="str">
        <f>G61</f>
        <v>Pér.08</v>
      </c>
      <c r="T61" s="173"/>
      <c r="U61" s="173"/>
      <c r="V61" s="325"/>
      <c r="W61" s="325"/>
      <c r="X61" s="325"/>
      <c r="Y61" s="173"/>
      <c r="Z61" s="660" t="s">
        <v>50</v>
      </c>
      <c r="AB61" s="657" t="s">
        <v>49</v>
      </c>
      <c r="AC61" s="173"/>
      <c r="AD61" s="173"/>
      <c r="AE61" s="212" t="str">
        <f>S61</f>
        <v>Pér.08</v>
      </c>
      <c r="AF61" s="173"/>
      <c r="AG61" s="173"/>
      <c r="AH61" s="325"/>
      <c r="AI61" s="325"/>
      <c r="AJ61" s="325"/>
      <c r="AK61" s="173"/>
      <c r="AL61" s="660" t="s">
        <v>50</v>
      </c>
      <c r="AN61" s="657" t="s">
        <v>49</v>
      </c>
      <c r="AO61" s="173"/>
      <c r="AP61" s="173"/>
      <c r="AQ61" s="212" t="str">
        <f>AE61</f>
        <v>Pér.08</v>
      </c>
      <c r="AR61" s="173"/>
      <c r="AS61" s="173"/>
      <c r="AT61" s="173"/>
      <c r="AU61" s="173"/>
      <c r="AV61" s="418"/>
      <c r="AW61" s="173"/>
      <c r="AX61" s="660" t="s">
        <v>50</v>
      </c>
      <c r="AZ61" s="657" t="s">
        <v>49</v>
      </c>
      <c r="BA61" s="173"/>
      <c r="BB61" s="173"/>
      <c r="BC61" s="212" t="str">
        <f>AQ61</f>
        <v>Pér.08</v>
      </c>
      <c r="BD61" s="173"/>
      <c r="BE61" s="173"/>
      <c r="BF61" s="173"/>
      <c r="BG61" s="173"/>
      <c r="BH61" s="173"/>
      <c r="BI61" s="173"/>
      <c r="BJ61" s="660" t="s">
        <v>50</v>
      </c>
      <c r="BL61" s="657" t="s">
        <v>49</v>
      </c>
      <c r="BM61" s="173"/>
      <c r="BN61" s="173"/>
      <c r="BO61" s="212" t="str">
        <f>BC61</f>
        <v>Pér.08</v>
      </c>
      <c r="BP61" s="173"/>
      <c r="BQ61" s="173"/>
      <c r="BR61" s="173"/>
      <c r="BS61" s="173"/>
      <c r="BT61" s="173"/>
      <c r="BU61" s="173"/>
      <c r="BV61" s="660" t="s">
        <v>50</v>
      </c>
    </row>
    <row r="62" spans="2:74" ht="16" x14ac:dyDescent="0.2">
      <c r="B62" s="673"/>
      <c r="C62" s="663"/>
      <c r="D62" s="658"/>
      <c r="E62" s="174"/>
      <c r="F62" s="174"/>
      <c r="G62" s="174"/>
      <c r="H62" s="174"/>
      <c r="I62" s="174"/>
      <c r="J62" s="174"/>
      <c r="K62" s="174"/>
      <c r="L62" s="174"/>
      <c r="M62" s="174"/>
      <c r="N62" s="661"/>
      <c r="P62" s="658"/>
      <c r="Q62" s="174"/>
      <c r="R62" s="174"/>
      <c r="S62" s="174"/>
      <c r="T62" s="174"/>
      <c r="U62" s="174"/>
      <c r="V62" s="322"/>
      <c r="W62" s="322"/>
      <c r="X62" s="322"/>
      <c r="Y62" s="174"/>
      <c r="Z62" s="661"/>
      <c r="AB62" s="658"/>
      <c r="AC62" s="174"/>
      <c r="AD62" s="174"/>
      <c r="AE62" s="174"/>
      <c r="AF62" s="174"/>
      <c r="AG62" s="174"/>
      <c r="AH62" s="322"/>
      <c r="AI62" s="322"/>
      <c r="AJ62" s="322"/>
      <c r="AK62" s="174"/>
      <c r="AL62" s="661"/>
      <c r="AN62" s="658"/>
      <c r="AO62" s="174"/>
      <c r="AP62" s="174"/>
      <c r="AQ62" s="174"/>
      <c r="AR62" s="174"/>
      <c r="AS62" s="174"/>
      <c r="AT62" s="174"/>
      <c r="AU62" s="174"/>
      <c r="AV62" s="419"/>
      <c r="AW62" s="174"/>
      <c r="AX62" s="661"/>
      <c r="AZ62" s="658"/>
      <c r="BA62" s="174"/>
      <c r="BB62" s="174"/>
      <c r="BC62" s="174"/>
      <c r="BD62" s="174"/>
      <c r="BE62" s="174"/>
      <c r="BF62" s="174"/>
      <c r="BG62" s="174"/>
      <c r="BH62" s="174"/>
      <c r="BI62" s="174"/>
      <c r="BJ62" s="661"/>
      <c r="BL62" s="658"/>
      <c r="BM62" s="174"/>
      <c r="BN62" s="174"/>
      <c r="BO62" s="174"/>
      <c r="BP62" s="174"/>
      <c r="BQ62" s="174"/>
      <c r="BR62" s="174"/>
      <c r="BS62" s="174"/>
      <c r="BT62" s="174"/>
      <c r="BU62" s="174"/>
      <c r="BV62" s="661"/>
    </row>
    <row r="63" spans="2:74" ht="21" x14ac:dyDescent="0.25">
      <c r="B63" s="673"/>
      <c r="C63" s="663"/>
      <c r="D63" s="658"/>
      <c r="E63" s="175" t="str">
        <f>E55</f>
        <v>Demande mensuelle</v>
      </c>
      <c r="F63" s="175" t="s">
        <v>52</v>
      </c>
      <c r="G63" s="175" t="str">
        <f>G55</f>
        <v>Achalandage mensuel</v>
      </c>
      <c r="H63" s="175" t="s">
        <v>54</v>
      </c>
      <c r="I63" s="175" t="s">
        <v>55</v>
      </c>
      <c r="J63" s="175" t="str">
        <f>J55</f>
        <v>Um/A</v>
      </c>
      <c r="K63" s="175" t="s">
        <v>54</v>
      </c>
      <c r="L63" s="175" t="str">
        <f>L55</f>
        <v>PmO</v>
      </c>
      <c r="M63" s="175" t="s">
        <v>58</v>
      </c>
      <c r="N63" s="661"/>
      <c r="P63" s="658"/>
      <c r="Q63" s="175" t="str">
        <f>Q55</f>
        <v>Demande mensuelle</v>
      </c>
      <c r="R63" s="175" t="s">
        <v>52</v>
      </c>
      <c r="S63" s="175" t="str">
        <f>S55</f>
        <v>Achalandage mensuel</v>
      </c>
      <c r="T63" s="175" t="s">
        <v>54</v>
      </c>
      <c r="U63" s="175" t="s">
        <v>55</v>
      </c>
      <c r="V63" s="313" t="str">
        <f>V55</f>
        <v>Um/A</v>
      </c>
      <c r="W63" s="313" t="s">
        <v>54</v>
      </c>
      <c r="X63" s="313" t="str">
        <f>X55</f>
        <v>PmO</v>
      </c>
      <c r="Y63" s="175" t="s">
        <v>58</v>
      </c>
      <c r="Z63" s="661"/>
      <c r="AB63" s="658"/>
      <c r="AC63" s="175" t="str">
        <f>AC55</f>
        <v>Demande mensuelle</v>
      </c>
      <c r="AD63" s="175" t="s">
        <v>52</v>
      </c>
      <c r="AE63" s="175" t="str">
        <f>AE55</f>
        <v>Achalandage mensuel</v>
      </c>
      <c r="AF63" s="175" t="s">
        <v>54</v>
      </c>
      <c r="AG63" s="175" t="s">
        <v>55</v>
      </c>
      <c r="AH63" s="313" t="str">
        <f>AH55</f>
        <v>Um/A</v>
      </c>
      <c r="AI63" s="313" t="s">
        <v>54</v>
      </c>
      <c r="AJ63" s="313" t="str">
        <f>AJ55</f>
        <v>PmO</v>
      </c>
      <c r="AK63" s="175" t="s">
        <v>58</v>
      </c>
      <c r="AL63" s="661"/>
      <c r="AN63" s="658"/>
      <c r="AO63" s="175" t="str">
        <f>AO55</f>
        <v>Demande mensuelle</v>
      </c>
      <c r="AP63" s="175" t="s">
        <v>52</v>
      </c>
      <c r="AQ63" s="175" t="str">
        <f>AQ55</f>
        <v>Achalandage mensuel</v>
      </c>
      <c r="AR63" s="175" t="s">
        <v>54</v>
      </c>
      <c r="AS63" s="175" t="s">
        <v>55</v>
      </c>
      <c r="AT63" s="175" t="str">
        <f>AT55</f>
        <v>Um/A</v>
      </c>
      <c r="AU63" s="175" t="s">
        <v>54</v>
      </c>
      <c r="AV63" s="313" t="str">
        <f>AV55</f>
        <v>PmO</v>
      </c>
      <c r="AW63" s="175" t="s">
        <v>58</v>
      </c>
      <c r="AX63" s="661"/>
      <c r="AZ63" s="658"/>
      <c r="BA63" s="175" t="str">
        <f>BA55</f>
        <v>Coût mensuel</v>
      </c>
      <c r="BB63" s="175" t="s">
        <v>52</v>
      </c>
      <c r="BC63" s="175" t="str">
        <f>BC55</f>
        <v>Achalandage mensuel</v>
      </c>
      <c r="BD63" s="175" t="s">
        <v>54</v>
      </c>
      <c r="BE63" s="175" t="s">
        <v>55</v>
      </c>
      <c r="BF63" s="175" t="str">
        <f>BF55</f>
        <v>Um/A</v>
      </c>
      <c r="BG63" s="175" t="s">
        <v>54</v>
      </c>
      <c r="BH63" s="175" t="str">
        <f>BH55</f>
        <v>CmO</v>
      </c>
      <c r="BI63" s="175" t="s">
        <v>58</v>
      </c>
      <c r="BJ63" s="661"/>
      <c r="BL63" s="658"/>
      <c r="BM63" s="175" t="str">
        <f>BM55</f>
        <v>Bénéfice mensuel</v>
      </c>
      <c r="BN63" s="175" t="s">
        <v>52</v>
      </c>
      <c r="BO63" s="175" t="str">
        <f>BO55</f>
        <v>Achalandage mensuel</v>
      </c>
      <c r="BP63" s="175" t="s">
        <v>54</v>
      </c>
      <c r="BQ63" s="175" t="s">
        <v>55</v>
      </c>
      <c r="BR63" s="175" t="str">
        <f>BR55</f>
        <v>Um/A</v>
      </c>
      <c r="BS63" s="175" t="s">
        <v>54</v>
      </c>
      <c r="BT63" s="175" t="str">
        <f>BT55</f>
        <v>BmO</v>
      </c>
      <c r="BU63" s="175" t="s">
        <v>58</v>
      </c>
      <c r="BV63" s="661"/>
    </row>
    <row r="64" spans="2:74" ht="19" x14ac:dyDescent="0.25">
      <c r="B64" s="673"/>
      <c r="C64" s="663"/>
      <c r="D64" s="658"/>
      <c r="E64" s="176" t="s">
        <v>1</v>
      </c>
      <c r="F64" s="177"/>
      <c r="G64" s="176"/>
      <c r="H64" s="177"/>
      <c r="I64" s="177"/>
      <c r="J64" s="177"/>
      <c r="K64" s="177"/>
      <c r="L64" s="177"/>
      <c r="M64" s="177"/>
      <c r="N64" s="661"/>
      <c r="P64" s="658"/>
      <c r="Q64" s="176" t="s">
        <v>1</v>
      </c>
      <c r="R64" s="177"/>
      <c r="S64" s="176"/>
      <c r="T64" s="177"/>
      <c r="U64" s="177"/>
      <c r="V64" s="323"/>
      <c r="W64" s="323"/>
      <c r="X64" s="323"/>
      <c r="Y64" s="177"/>
      <c r="Z64" s="661"/>
      <c r="AB64" s="658"/>
      <c r="AC64" s="176" t="s">
        <v>1</v>
      </c>
      <c r="AD64" s="177"/>
      <c r="AE64" s="176"/>
      <c r="AF64" s="177"/>
      <c r="AG64" s="177"/>
      <c r="AH64" s="323"/>
      <c r="AI64" s="323"/>
      <c r="AJ64" s="323"/>
      <c r="AK64" s="177"/>
      <c r="AL64" s="661"/>
      <c r="AN64" s="658"/>
      <c r="AO64" s="176" t="s">
        <v>1</v>
      </c>
      <c r="AP64" s="177"/>
      <c r="AQ64" s="176"/>
      <c r="AR64" s="177"/>
      <c r="AS64" s="177"/>
      <c r="AT64" s="177"/>
      <c r="AU64" s="177"/>
      <c r="AV64" s="323"/>
      <c r="AW64" s="177"/>
      <c r="AX64" s="661"/>
      <c r="AZ64" s="658"/>
      <c r="BA64" s="176" t="s">
        <v>1</v>
      </c>
      <c r="BB64" s="177"/>
      <c r="BC64" s="176"/>
      <c r="BD64" s="177"/>
      <c r="BE64" s="177"/>
      <c r="BF64" s="177"/>
      <c r="BG64" s="177"/>
      <c r="BH64" s="177"/>
      <c r="BI64" s="177"/>
      <c r="BJ64" s="661"/>
      <c r="BL64" s="658"/>
      <c r="BM64" s="176" t="s">
        <v>1</v>
      </c>
      <c r="BN64" s="177"/>
      <c r="BO64" s="176"/>
      <c r="BP64" s="177"/>
      <c r="BQ64" s="177"/>
      <c r="BR64" s="177"/>
      <c r="BS64" s="177"/>
      <c r="BT64" s="177"/>
      <c r="BU64" s="177"/>
      <c r="BV64" s="661"/>
    </row>
    <row r="65" spans="2:74" ht="26" x14ac:dyDescent="0.3">
      <c r="B65" s="673"/>
      <c r="C65" s="663"/>
      <c r="D65" s="658"/>
      <c r="E65" s="178" t="str">
        <f>E57</f>
        <v>D</v>
      </c>
      <c r="F65" s="179"/>
      <c r="G65" s="178" t="str">
        <f>G57</f>
        <v>A</v>
      </c>
      <c r="H65" s="179"/>
      <c r="I65" s="179"/>
      <c r="J65" s="178" t="str">
        <f>+J63</f>
        <v>Um/A</v>
      </c>
      <c r="K65" s="179"/>
      <c r="L65" s="178" t="str">
        <f>+L63</f>
        <v>PmO</v>
      </c>
      <c r="M65" s="179"/>
      <c r="N65" s="661"/>
      <c r="P65" s="658"/>
      <c r="Q65" s="178" t="str">
        <f>Q57</f>
        <v>D</v>
      </c>
      <c r="R65" s="179"/>
      <c r="S65" s="178" t="str">
        <f>S57</f>
        <v>A</v>
      </c>
      <c r="T65" s="179"/>
      <c r="U65" s="179"/>
      <c r="V65" s="314" t="str">
        <f>+V63</f>
        <v>Um/A</v>
      </c>
      <c r="W65" s="324"/>
      <c r="X65" s="314" t="str">
        <f>+X63</f>
        <v>PmO</v>
      </c>
      <c r="Y65" s="179"/>
      <c r="Z65" s="661"/>
      <c r="AB65" s="658"/>
      <c r="AC65" s="178" t="str">
        <f>AC57</f>
        <v>D</v>
      </c>
      <c r="AD65" s="179"/>
      <c r="AE65" s="178" t="str">
        <f>AE57</f>
        <v>A</v>
      </c>
      <c r="AF65" s="179"/>
      <c r="AG65" s="179"/>
      <c r="AH65" s="314" t="str">
        <f>+AH63</f>
        <v>Um/A</v>
      </c>
      <c r="AI65" s="324"/>
      <c r="AJ65" s="314" t="str">
        <f>+AJ63</f>
        <v>PmO</v>
      </c>
      <c r="AK65" s="179"/>
      <c r="AL65" s="661"/>
      <c r="AN65" s="658"/>
      <c r="AO65" s="178" t="str">
        <f>AO57</f>
        <v>D</v>
      </c>
      <c r="AP65" s="179"/>
      <c r="AQ65" s="178" t="str">
        <f>AQ57</f>
        <v>A</v>
      </c>
      <c r="AR65" s="179"/>
      <c r="AS65" s="179"/>
      <c r="AT65" s="178" t="str">
        <f>+AT63</f>
        <v>Um/A</v>
      </c>
      <c r="AU65" s="179"/>
      <c r="AV65" s="314" t="str">
        <f>+AV63</f>
        <v>PmO</v>
      </c>
      <c r="AW65" s="179"/>
      <c r="AX65" s="661"/>
      <c r="AZ65" s="658"/>
      <c r="BA65" s="178" t="str">
        <f>BA57</f>
        <v xml:space="preserve">C </v>
      </c>
      <c r="BB65" s="179"/>
      <c r="BC65" s="178" t="str">
        <f>BC57</f>
        <v>A</v>
      </c>
      <c r="BD65" s="179"/>
      <c r="BE65" s="179"/>
      <c r="BF65" s="178" t="str">
        <f>+BF63</f>
        <v>Um/A</v>
      </c>
      <c r="BG65" s="179"/>
      <c r="BH65" s="178" t="str">
        <f>+BH63</f>
        <v>CmO</v>
      </c>
      <c r="BI65" s="179"/>
      <c r="BJ65" s="661"/>
      <c r="BL65" s="658"/>
      <c r="BM65" s="178" t="str">
        <f>BM57</f>
        <v xml:space="preserve">B </v>
      </c>
      <c r="BN65" s="179"/>
      <c r="BO65" s="178" t="str">
        <f>BO57</f>
        <v>A</v>
      </c>
      <c r="BP65" s="179"/>
      <c r="BQ65" s="179"/>
      <c r="BR65" s="178" t="str">
        <f>+BR63</f>
        <v>Um/A</v>
      </c>
      <c r="BS65" s="179"/>
      <c r="BT65" s="178" t="str">
        <f>+BT63</f>
        <v>BmO</v>
      </c>
      <c r="BU65" s="179"/>
      <c r="BV65" s="661"/>
    </row>
    <row r="66" spans="2:74" ht="21" x14ac:dyDescent="0.25">
      <c r="B66" s="673"/>
      <c r="C66" s="663"/>
      <c r="D66" s="658"/>
      <c r="E66" s="158">
        <f>+Q66+AC66+AO66</f>
        <v>3394.7200000000003</v>
      </c>
      <c r="F66" s="175" t="s">
        <v>52</v>
      </c>
      <c r="G66" s="159">
        <f>'% Occupation'!K19</f>
        <v>196</v>
      </c>
      <c r="H66" s="175" t="s">
        <v>54</v>
      </c>
      <c r="I66" s="175" t="s">
        <v>55</v>
      </c>
      <c r="J66" s="160">
        <f>+V66+AH66+AT66</f>
        <v>2.1</v>
      </c>
      <c r="K66" s="175" t="s">
        <v>54</v>
      </c>
      <c r="L66" s="158">
        <f>E66/G66/J66</f>
        <v>8.2476190476190467</v>
      </c>
      <c r="M66" s="175" t="s">
        <v>58</v>
      </c>
      <c r="N66" s="661"/>
      <c r="P66" s="658"/>
      <c r="Q66" s="158">
        <f>+S66*(V66*X66)</f>
        <v>944.06666666666683</v>
      </c>
      <c r="R66" s="175" t="s">
        <v>52</v>
      </c>
      <c r="S66" s="159">
        <f>G66</f>
        <v>196</v>
      </c>
      <c r="T66" s="175" t="s">
        <v>54</v>
      </c>
      <c r="U66" s="175" t="s">
        <v>55</v>
      </c>
      <c r="V66" s="301">
        <f>'Calcul CmO et PmO'!L322</f>
        <v>1</v>
      </c>
      <c r="W66" s="313" t="s">
        <v>54</v>
      </c>
      <c r="X66" s="302">
        <f>'Calcul CmO et PmO'!F322</f>
        <v>4.8166666666666673</v>
      </c>
      <c r="Y66" s="175" t="s">
        <v>58</v>
      </c>
      <c r="Z66" s="661"/>
      <c r="AB66" s="658"/>
      <c r="AC66" s="158">
        <f>+AE66*(AH66*AJ66)</f>
        <v>1868.5333333333333</v>
      </c>
      <c r="AD66" s="175" t="s">
        <v>52</v>
      </c>
      <c r="AE66" s="159">
        <f>S66</f>
        <v>196</v>
      </c>
      <c r="AF66" s="175" t="s">
        <v>54</v>
      </c>
      <c r="AG66" s="175" t="s">
        <v>55</v>
      </c>
      <c r="AH66" s="301">
        <f>'Calcul CmO et PmO'!L337</f>
        <v>1</v>
      </c>
      <c r="AI66" s="313" t="s">
        <v>54</v>
      </c>
      <c r="AJ66" s="302">
        <f>'Calcul CmO et PmO'!F337</f>
        <v>9.5333333333333332</v>
      </c>
      <c r="AK66" s="175" t="s">
        <v>58</v>
      </c>
      <c r="AL66" s="661"/>
      <c r="AN66" s="658"/>
      <c r="AO66" s="158">
        <f>+AQ66*(AT66*AV66)</f>
        <v>582.12</v>
      </c>
      <c r="AP66" s="175" t="s">
        <v>52</v>
      </c>
      <c r="AQ66" s="159">
        <f>AE66</f>
        <v>196</v>
      </c>
      <c r="AR66" s="175" t="s">
        <v>54</v>
      </c>
      <c r="AS66" s="175" t="s">
        <v>55</v>
      </c>
      <c r="AT66" s="161">
        <v>0.1</v>
      </c>
      <c r="AU66" s="175" t="s">
        <v>54</v>
      </c>
      <c r="AV66" s="302">
        <f>'Calcul CmO, PmO, Etc.'!E28</f>
        <v>29.7</v>
      </c>
      <c r="AW66" s="175" t="s">
        <v>58</v>
      </c>
      <c r="AX66" s="661"/>
      <c r="AZ66" s="658"/>
      <c r="BA66" s="158">
        <f>+BC66*(BF66*BH66)</f>
        <v>0</v>
      </c>
      <c r="BB66" s="175" t="s">
        <v>52</v>
      </c>
      <c r="BC66" s="159">
        <f>G66</f>
        <v>196</v>
      </c>
      <c r="BD66" s="175" t="s">
        <v>54</v>
      </c>
      <c r="BE66" s="175" t="s">
        <v>55</v>
      </c>
      <c r="BF66" s="160">
        <f>J66</f>
        <v>2.1</v>
      </c>
      <c r="BG66" s="175" t="s">
        <v>54</v>
      </c>
      <c r="BH66" s="208">
        <v>0</v>
      </c>
      <c r="BI66" s="175" t="s">
        <v>58</v>
      </c>
      <c r="BJ66" s="661"/>
      <c r="BL66" s="658"/>
      <c r="BM66" s="158">
        <f>E66-BA66</f>
        <v>3394.7200000000003</v>
      </c>
      <c r="BN66" s="175" t="s">
        <v>52</v>
      </c>
      <c r="BO66" s="159">
        <f>G66</f>
        <v>196</v>
      </c>
      <c r="BP66" s="175" t="s">
        <v>54</v>
      </c>
      <c r="BQ66" s="175" t="s">
        <v>55</v>
      </c>
      <c r="BR66" s="160">
        <f>J66</f>
        <v>2.1</v>
      </c>
      <c r="BS66" s="175" t="s">
        <v>54</v>
      </c>
      <c r="BT66" s="158">
        <f>BM66/BO66/BR66</f>
        <v>8.2476190476190467</v>
      </c>
      <c r="BU66" s="175" t="s">
        <v>58</v>
      </c>
      <c r="BV66" s="661"/>
    </row>
    <row r="67" spans="2:74" ht="17" thickBot="1" x14ac:dyDescent="0.25">
      <c r="B67" s="673"/>
      <c r="C67" s="663"/>
      <c r="D67" s="659"/>
      <c r="E67" s="180"/>
      <c r="F67" s="180"/>
      <c r="G67" s="180"/>
      <c r="H67" s="180"/>
      <c r="I67" s="180"/>
      <c r="J67" s="180"/>
      <c r="K67" s="180"/>
      <c r="L67" s="180"/>
      <c r="M67" s="180"/>
      <c r="N67" s="662"/>
      <c r="P67" s="659"/>
      <c r="Q67" s="180"/>
      <c r="R67" s="180"/>
      <c r="S67" s="180"/>
      <c r="T67" s="180"/>
      <c r="U67" s="180"/>
      <c r="V67" s="326"/>
      <c r="W67" s="326"/>
      <c r="X67" s="326"/>
      <c r="Y67" s="180"/>
      <c r="Z67" s="662"/>
      <c r="AB67" s="659"/>
      <c r="AC67" s="180"/>
      <c r="AD67" s="180"/>
      <c r="AE67" s="180"/>
      <c r="AF67" s="180"/>
      <c r="AG67" s="180"/>
      <c r="AH67" s="326"/>
      <c r="AI67" s="326"/>
      <c r="AJ67" s="326"/>
      <c r="AK67" s="180"/>
      <c r="AL67" s="662"/>
      <c r="AN67" s="659"/>
      <c r="AO67" s="180"/>
      <c r="AP67" s="180"/>
      <c r="AQ67" s="180"/>
      <c r="AR67" s="180"/>
      <c r="AS67" s="180"/>
      <c r="AT67" s="180"/>
      <c r="AU67" s="180"/>
      <c r="AV67" s="420"/>
      <c r="AW67" s="180"/>
      <c r="AX67" s="662"/>
      <c r="AZ67" s="659"/>
      <c r="BA67" s="180"/>
      <c r="BB67" s="180"/>
      <c r="BC67" s="180"/>
      <c r="BD67" s="180"/>
      <c r="BE67" s="180"/>
      <c r="BF67" s="180"/>
      <c r="BG67" s="180"/>
      <c r="BH67" s="180"/>
      <c r="BI67" s="180"/>
      <c r="BJ67" s="662"/>
      <c r="BL67" s="659"/>
      <c r="BM67" s="180"/>
      <c r="BN67" s="180"/>
      <c r="BO67" s="180"/>
      <c r="BP67" s="180"/>
      <c r="BQ67" s="180"/>
      <c r="BR67" s="180"/>
      <c r="BS67" s="180"/>
      <c r="BT67" s="180"/>
      <c r="BU67" s="180"/>
      <c r="BV67" s="662"/>
    </row>
    <row r="68" spans="2:74" ht="5" customHeight="1" thickTop="1" thickBot="1" x14ac:dyDescent="0.2">
      <c r="B68" s="673"/>
      <c r="C68" s="150"/>
      <c r="V68" s="307"/>
      <c r="W68" s="307"/>
      <c r="X68" s="307"/>
      <c r="AH68" s="307"/>
      <c r="AI68" s="307"/>
      <c r="AJ68" s="307"/>
      <c r="AV68" s="307"/>
    </row>
    <row r="69" spans="2:74" ht="17" thickTop="1" x14ac:dyDescent="0.2">
      <c r="B69" s="673"/>
      <c r="C69" s="663">
        <v>9</v>
      </c>
      <c r="D69" s="657" t="s">
        <v>49</v>
      </c>
      <c r="E69" s="173"/>
      <c r="F69" s="173"/>
      <c r="G69" s="212" t="str">
        <f>'Achalandage journalier'!L5</f>
        <v>Pér.09</v>
      </c>
      <c r="H69" s="173"/>
      <c r="I69" s="173"/>
      <c r="J69" s="173"/>
      <c r="K69" s="173"/>
      <c r="L69" s="173"/>
      <c r="M69" s="173"/>
      <c r="N69" s="660" t="s">
        <v>50</v>
      </c>
      <c r="P69" s="657" t="s">
        <v>49</v>
      </c>
      <c r="Q69" s="173"/>
      <c r="R69" s="173"/>
      <c r="S69" s="212" t="str">
        <f>G69</f>
        <v>Pér.09</v>
      </c>
      <c r="T69" s="173"/>
      <c r="U69" s="173"/>
      <c r="V69" s="325"/>
      <c r="W69" s="325"/>
      <c r="X69" s="325"/>
      <c r="Y69" s="173"/>
      <c r="Z69" s="660" t="s">
        <v>50</v>
      </c>
      <c r="AB69" s="657" t="s">
        <v>49</v>
      </c>
      <c r="AC69" s="173"/>
      <c r="AD69" s="173"/>
      <c r="AE69" s="212" t="str">
        <f>S69</f>
        <v>Pér.09</v>
      </c>
      <c r="AF69" s="173"/>
      <c r="AG69" s="173"/>
      <c r="AH69" s="325"/>
      <c r="AI69" s="325"/>
      <c r="AJ69" s="325"/>
      <c r="AK69" s="173"/>
      <c r="AL69" s="660" t="s">
        <v>50</v>
      </c>
      <c r="AN69" s="657" t="s">
        <v>49</v>
      </c>
      <c r="AO69" s="173"/>
      <c r="AP69" s="173"/>
      <c r="AQ69" s="212" t="str">
        <f>AE69</f>
        <v>Pér.09</v>
      </c>
      <c r="AR69" s="173"/>
      <c r="AS69" s="173"/>
      <c r="AT69" s="173"/>
      <c r="AU69" s="173"/>
      <c r="AV69" s="418"/>
      <c r="AW69" s="173"/>
      <c r="AX69" s="660" t="s">
        <v>50</v>
      </c>
      <c r="AZ69" s="657" t="s">
        <v>49</v>
      </c>
      <c r="BA69" s="173"/>
      <c r="BB69" s="173"/>
      <c r="BC69" s="212" t="str">
        <f>AQ69</f>
        <v>Pér.09</v>
      </c>
      <c r="BD69" s="173"/>
      <c r="BE69" s="173"/>
      <c r="BF69" s="173"/>
      <c r="BG69" s="173"/>
      <c r="BH69" s="173"/>
      <c r="BI69" s="173"/>
      <c r="BJ69" s="660" t="s">
        <v>50</v>
      </c>
      <c r="BL69" s="657" t="s">
        <v>49</v>
      </c>
      <c r="BM69" s="173"/>
      <c r="BN69" s="173"/>
      <c r="BO69" s="212" t="str">
        <f>BC69</f>
        <v>Pér.09</v>
      </c>
      <c r="BP69" s="173"/>
      <c r="BQ69" s="173"/>
      <c r="BR69" s="173"/>
      <c r="BS69" s="173"/>
      <c r="BT69" s="173"/>
      <c r="BU69" s="173"/>
      <c r="BV69" s="660" t="s">
        <v>50</v>
      </c>
    </row>
    <row r="70" spans="2:74" ht="16" x14ac:dyDescent="0.2">
      <c r="B70" s="673"/>
      <c r="C70" s="663"/>
      <c r="D70" s="658"/>
      <c r="E70" s="174"/>
      <c r="F70" s="174"/>
      <c r="G70" s="174"/>
      <c r="H70" s="174"/>
      <c r="I70" s="174"/>
      <c r="J70" s="174"/>
      <c r="K70" s="174"/>
      <c r="L70" s="174"/>
      <c r="M70" s="174"/>
      <c r="N70" s="661"/>
      <c r="P70" s="658"/>
      <c r="Q70" s="174"/>
      <c r="R70" s="174"/>
      <c r="S70" s="174"/>
      <c r="T70" s="174"/>
      <c r="U70" s="174"/>
      <c r="V70" s="322"/>
      <c r="W70" s="322"/>
      <c r="X70" s="322"/>
      <c r="Y70" s="174"/>
      <c r="Z70" s="661"/>
      <c r="AB70" s="658"/>
      <c r="AC70" s="174"/>
      <c r="AD70" s="174"/>
      <c r="AE70" s="174"/>
      <c r="AF70" s="174"/>
      <c r="AG70" s="174"/>
      <c r="AH70" s="322"/>
      <c r="AI70" s="322"/>
      <c r="AJ70" s="322"/>
      <c r="AK70" s="174"/>
      <c r="AL70" s="661"/>
      <c r="AN70" s="658"/>
      <c r="AO70" s="174"/>
      <c r="AP70" s="174"/>
      <c r="AQ70" s="174"/>
      <c r="AR70" s="174"/>
      <c r="AS70" s="174"/>
      <c r="AT70" s="174"/>
      <c r="AU70" s="174"/>
      <c r="AV70" s="419"/>
      <c r="AW70" s="174"/>
      <c r="AX70" s="661"/>
      <c r="AZ70" s="658"/>
      <c r="BA70" s="174"/>
      <c r="BB70" s="174"/>
      <c r="BC70" s="174"/>
      <c r="BD70" s="174"/>
      <c r="BE70" s="174"/>
      <c r="BF70" s="174"/>
      <c r="BG70" s="174"/>
      <c r="BH70" s="174"/>
      <c r="BI70" s="174"/>
      <c r="BJ70" s="661"/>
      <c r="BL70" s="658"/>
      <c r="BM70" s="174"/>
      <c r="BN70" s="174"/>
      <c r="BO70" s="174"/>
      <c r="BP70" s="174"/>
      <c r="BQ70" s="174"/>
      <c r="BR70" s="174"/>
      <c r="BS70" s="174"/>
      <c r="BT70" s="174"/>
      <c r="BU70" s="174"/>
      <c r="BV70" s="661"/>
    </row>
    <row r="71" spans="2:74" ht="21" x14ac:dyDescent="0.25">
      <c r="B71" s="673"/>
      <c r="C71" s="663"/>
      <c r="D71" s="658"/>
      <c r="E71" s="175" t="str">
        <f>E63</f>
        <v>Demande mensuelle</v>
      </c>
      <c r="F71" s="175" t="s">
        <v>52</v>
      </c>
      <c r="G71" s="175" t="str">
        <f>G63</f>
        <v>Achalandage mensuel</v>
      </c>
      <c r="H71" s="175" t="s">
        <v>54</v>
      </c>
      <c r="I71" s="175" t="s">
        <v>55</v>
      </c>
      <c r="J71" s="175" t="str">
        <f>J63</f>
        <v>Um/A</v>
      </c>
      <c r="K71" s="175" t="s">
        <v>54</v>
      </c>
      <c r="L71" s="175" t="str">
        <f>L63</f>
        <v>PmO</v>
      </c>
      <c r="M71" s="175" t="s">
        <v>58</v>
      </c>
      <c r="N71" s="661"/>
      <c r="P71" s="658"/>
      <c r="Q71" s="175" t="str">
        <f>Q63</f>
        <v>Demande mensuelle</v>
      </c>
      <c r="R71" s="175" t="s">
        <v>52</v>
      </c>
      <c r="S71" s="175" t="str">
        <f>S63</f>
        <v>Achalandage mensuel</v>
      </c>
      <c r="T71" s="175" t="s">
        <v>54</v>
      </c>
      <c r="U71" s="175" t="s">
        <v>55</v>
      </c>
      <c r="V71" s="313" t="str">
        <f>V63</f>
        <v>Um/A</v>
      </c>
      <c r="W71" s="313" t="s">
        <v>54</v>
      </c>
      <c r="X71" s="313" t="str">
        <f>X63</f>
        <v>PmO</v>
      </c>
      <c r="Y71" s="175" t="s">
        <v>58</v>
      </c>
      <c r="Z71" s="661"/>
      <c r="AB71" s="658"/>
      <c r="AC71" s="175" t="str">
        <f>AC63</f>
        <v>Demande mensuelle</v>
      </c>
      <c r="AD71" s="175" t="s">
        <v>52</v>
      </c>
      <c r="AE71" s="175" t="str">
        <f>AE63</f>
        <v>Achalandage mensuel</v>
      </c>
      <c r="AF71" s="175" t="s">
        <v>54</v>
      </c>
      <c r="AG71" s="175" t="s">
        <v>55</v>
      </c>
      <c r="AH71" s="313" t="str">
        <f>AH63</f>
        <v>Um/A</v>
      </c>
      <c r="AI71" s="313" t="s">
        <v>54</v>
      </c>
      <c r="AJ71" s="313" t="str">
        <f>AJ63</f>
        <v>PmO</v>
      </c>
      <c r="AK71" s="175" t="s">
        <v>58</v>
      </c>
      <c r="AL71" s="661"/>
      <c r="AN71" s="658"/>
      <c r="AO71" s="175" t="str">
        <f>AO63</f>
        <v>Demande mensuelle</v>
      </c>
      <c r="AP71" s="175" t="s">
        <v>52</v>
      </c>
      <c r="AQ71" s="175" t="str">
        <f>AQ63</f>
        <v>Achalandage mensuel</v>
      </c>
      <c r="AR71" s="175" t="s">
        <v>54</v>
      </c>
      <c r="AS71" s="175" t="s">
        <v>55</v>
      </c>
      <c r="AT71" s="175" t="str">
        <f>AT63</f>
        <v>Um/A</v>
      </c>
      <c r="AU71" s="175" t="s">
        <v>54</v>
      </c>
      <c r="AV71" s="313" t="str">
        <f>AV63</f>
        <v>PmO</v>
      </c>
      <c r="AW71" s="175" t="s">
        <v>58</v>
      </c>
      <c r="AX71" s="661"/>
      <c r="AZ71" s="658"/>
      <c r="BA71" s="175" t="str">
        <f>BA63</f>
        <v>Coût mensuel</v>
      </c>
      <c r="BB71" s="175" t="s">
        <v>52</v>
      </c>
      <c r="BC71" s="175" t="str">
        <f>BC63</f>
        <v>Achalandage mensuel</v>
      </c>
      <c r="BD71" s="175" t="s">
        <v>54</v>
      </c>
      <c r="BE71" s="175" t="s">
        <v>55</v>
      </c>
      <c r="BF71" s="175" t="str">
        <f>BF63</f>
        <v>Um/A</v>
      </c>
      <c r="BG71" s="175" t="s">
        <v>54</v>
      </c>
      <c r="BH71" s="175" t="str">
        <f>BH63</f>
        <v>CmO</v>
      </c>
      <c r="BI71" s="175" t="s">
        <v>58</v>
      </c>
      <c r="BJ71" s="661"/>
      <c r="BL71" s="658"/>
      <c r="BM71" s="175" t="str">
        <f>BM63</f>
        <v>Bénéfice mensuel</v>
      </c>
      <c r="BN71" s="175" t="s">
        <v>52</v>
      </c>
      <c r="BO71" s="175" t="str">
        <f>BO63</f>
        <v>Achalandage mensuel</v>
      </c>
      <c r="BP71" s="175" t="s">
        <v>54</v>
      </c>
      <c r="BQ71" s="175" t="s">
        <v>55</v>
      </c>
      <c r="BR71" s="175" t="str">
        <f>BR63</f>
        <v>Um/A</v>
      </c>
      <c r="BS71" s="175" t="s">
        <v>54</v>
      </c>
      <c r="BT71" s="175" t="str">
        <f>BT63</f>
        <v>BmO</v>
      </c>
      <c r="BU71" s="175" t="s">
        <v>58</v>
      </c>
      <c r="BV71" s="661"/>
    </row>
    <row r="72" spans="2:74" ht="19" x14ac:dyDescent="0.25">
      <c r="B72" s="673"/>
      <c r="C72" s="663"/>
      <c r="D72" s="658"/>
      <c r="E72" s="176" t="s">
        <v>1</v>
      </c>
      <c r="F72" s="177"/>
      <c r="G72" s="176"/>
      <c r="H72" s="177"/>
      <c r="I72" s="177"/>
      <c r="J72" s="177"/>
      <c r="K72" s="177"/>
      <c r="L72" s="177"/>
      <c r="M72" s="177"/>
      <c r="N72" s="661"/>
      <c r="P72" s="658"/>
      <c r="Q72" s="176" t="s">
        <v>1</v>
      </c>
      <c r="R72" s="177"/>
      <c r="S72" s="176"/>
      <c r="T72" s="177"/>
      <c r="U72" s="177"/>
      <c r="V72" s="323"/>
      <c r="W72" s="323"/>
      <c r="X72" s="323"/>
      <c r="Y72" s="177"/>
      <c r="Z72" s="661"/>
      <c r="AB72" s="658"/>
      <c r="AC72" s="176" t="s">
        <v>1</v>
      </c>
      <c r="AD72" s="177"/>
      <c r="AE72" s="176"/>
      <c r="AF72" s="177"/>
      <c r="AG72" s="177"/>
      <c r="AH72" s="323"/>
      <c r="AI72" s="323"/>
      <c r="AJ72" s="323"/>
      <c r="AK72" s="177"/>
      <c r="AL72" s="661"/>
      <c r="AN72" s="658"/>
      <c r="AO72" s="176" t="s">
        <v>1</v>
      </c>
      <c r="AP72" s="177"/>
      <c r="AQ72" s="176"/>
      <c r="AR72" s="177"/>
      <c r="AS72" s="177"/>
      <c r="AT72" s="177"/>
      <c r="AU72" s="177"/>
      <c r="AV72" s="323"/>
      <c r="AW72" s="177"/>
      <c r="AX72" s="661"/>
      <c r="AZ72" s="658"/>
      <c r="BA72" s="176" t="s">
        <v>1</v>
      </c>
      <c r="BB72" s="177"/>
      <c r="BC72" s="176"/>
      <c r="BD72" s="177"/>
      <c r="BE72" s="177"/>
      <c r="BF72" s="177"/>
      <c r="BG72" s="177"/>
      <c r="BH72" s="177"/>
      <c r="BI72" s="177"/>
      <c r="BJ72" s="661"/>
      <c r="BL72" s="658"/>
      <c r="BM72" s="176" t="s">
        <v>1</v>
      </c>
      <c r="BN72" s="177"/>
      <c r="BO72" s="176"/>
      <c r="BP72" s="177"/>
      <c r="BQ72" s="177"/>
      <c r="BR72" s="177"/>
      <c r="BS72" s="177"/>
      <c r="BT72" s="177"/>
      <c r="BU72" s="177"/>
      <c r="BV72" s="661"/>
    </row>
    <row r="73" spans="2:74" ht="26" x14ac:dyDescent="0.3">
      <c r="B73" s="673"/>
      <c r="C73" s="663"/>
      <c r="D73" s="658"/>
      <c r="E73" s="178" t="str">
        <f>E65</f>
        <v>D</v>
      </c>
      <c r="F73" s="179"/>
      <c r="G73" s="178" t="str">
        <f>G65</f>
        <v>A</v>
      </c>
      <c r="H73" s="179"/>
      <c r="I73" s="179"/>
      <c r="J73" s="178" t="str">
        <f>+J71</f>
        <v>Um/A</v>
      </c>
      <c r="K73" s="179"/>
      <c r="L73" s="178" t="str">
        <f>+L71</f>
        <v>PmO</v>
      </c>
      <c r="M73" s="179"/>
      <c r="N73" s="661"/>
      <c r="P73" s="658"/>
      <c r="Q73" s="178" t="str">
        <f>Q65</f>
        <v>D</v>
      </c>
      <c r="R73" s="179"/>
      <c r="S73" s="178" t="str">
        <f>S65</f>
        <v>A</v>
      </c>
      <c r="T73" s="179"/>
      <c r="U73" s="179"/>
      <c r="V73" s="314" t="str">
        <f>+V71</f>
        <v>Um/A</v>
      </c>
      <c r="W73" s="324"/>
      <c r="X73" s="314" t="str">
        <f>+X71</f>
        <v>PmO</v>
      </c>
      <c r="Y73" s="179"/>
      <c r="Z73" s="661"/>
      <c r="AB73" s="658"/>
      <c r="AC73" s="178" t="str">
        <f>AC65</f>
        <v>D</v>
      </c>
      <c r="AD73" s="179"/>
      <c r="AE73" s="178" t="str">
        <f>AE65</f>
        <v>A</v>
      </c>
      <c r="AF73" s="179"/>
      <c r="AG73" s="179"/>
      <c r="AH73" s="314" t="str">
        <f>+AH71</f>
        <v>Um/A</v>
      </c>
      <c r="AI73" s="324"/>
      <c r="AJ73" s="314" t="str">
        <f>+AJ71</f>
        <v>PmO</v>
      </c>
      <c r="AK73" s="179"/>
      <c r="AL73" s="661"/>
      <c r="AN73" s="658"/>
      <c r="AO73" s="178" t="str">
        <f>AO65</f>
        <v>D</v>
      </c>
      <c r="AP73" s="179"/>
      <c r="AQ73" s="178" t="str">
        <f>AQ65</f>
        <v>A</v>
      </c>
      <c r="AR73" s="179"/>
      <c r="AS73" s="179"/>
      <c r="AT73" s="178" t="str">
        <f>+AT71</f>
        <v>Um/A</v>
      </c>
      <c r="AU73" s="179"/>
      <c r="AV73" s="314" t="str">
        <f>+AV71</f>
        <v>PmO</v>
      </c>
      <c r="AW73" s="179"/>
      <c r="AX73" s="661"/>
      <c r="AZ73" s="658"/>
      <c r="BA73" s="178" t="str">
        <f>BA65</f>
        <v xml:space="preserve">C </v>
      </c>
      <c r="BB73" s="179"/>
      <c r="BC73" s="178" t="str">
        <f>BC65</f>
        <v>A</v>
      </c>
      <c r="BD73" s="179"/>
      <c r="BE73" s="179"/>
      <c r="BF73" s="178" t="str">
        <f>+BF71</f>
        <v>Um/A</v>
      </c>
      <c r="BG73" s="179"/>
      <c r="BH73" s="178" t="str">
        <f>+BH71</f>
        <v>CmO</v>
      </c>
      <c r="BI73" s="179"/>
      <c r="BJ73" s="661"/>
      <c r="BL73" s="658"/>
      <c r="BM73" s="178" t="str">
        <f>BM65</f>
        <v xml:space="preserve">B </v>
      </c>
      <c r="BN73" s="179"/>
      <c r="BO73" s="178" t="str">
        <f>BO65</f>
        <v>A</v>
      </c>
      <c r="BP73" s="179"/>
      <c r="BQ73" s="179"/>
      <c r="BR73" s="178" t="str">
        <f>+BR71</f>
        <v>Um/A</v>
      </c>
      <c r="BS73" s="179"/>
      <c r="BT73" s="178" t="str">
        <f>+BT71</f>
        <v>BmO</v>
      </c>
      <c r="BU73" s="179"/>
      <c r="BV73" s="661"/>
    </row>
    <row r="74" spans="2:74" ht="21" x14ac:dyDescent="0.25">
      <c r="B74" s="673"/>
      <c r="C74" s="663"/>
      <c r="D74" s="658"/>
      <c r="E74" s="158">
        <f>+Q74+AC74+AO74</f>
        <v>3394.7200000000003</v>
      </c>
      <c r="F74" s="175" t="s">
        <v>52</v>
      </c>
      <c r="G74" s="159">
        <f>'% Occupation'!L19</f>
        <v>196</v>
      </c>
      <c r="H74" s="175" t="s">
        <v>54</v>
      </c>
      <c r="I74" s="175" t="s">
        <v>55</v>
      </c>
      <c r="J74" s="160">
        <f>+V74+AH74+AT74</f>
        <v>2.1</v>
      </c>
      <c r="K74" s="175" t="s">
        <v>54</v>
      </c>
      <c r="L74" s="158">
        <f>E74/G74/J74</f>
        <v>8.2476190476190467</v>
      </c>
      <c r="M74" s="175" t="s">
        <v>58</v>
      </c>
      <c r="N74" s="661"/>
      <c r="P74" s="658"/>
      <c r="Q74" s="158">
        <f>+S74*(V74*X74)</f>
        <v>944.06666666666683</v>
      </c>
      <c r="R74" s="175" t="s">
        <v>52</v>
      </c>
      <c r="S74" s="159">
        <f>G74</f>
        <v>196</v>
      </c>
      <c r="T74" s="175" t="s">
        <v>54</v>
      </c>
      <c r="U74" s="175" t="s">
        <v>55</v>
      </c>
      <c r="V74" s="301">
        <f>'Calcul CmO et PmO'!L365</f>
        <v>1</v>
      </c>
      <c r="W74" s="313" t="s">
        <v>54</v>
      </c>
      <c r="X74" s="302">
        <f>'Calcul CmO et PmO'!F365</f>
        <v>4.8166666666666673</v>
      </c>
      <c r="Y74" s="175" t="s">
        <v>58</v>
      </c>
      <c r="Z74" s="661"/>
      <c r="AB74" s="658"/>
      <c r="AC74" s="158">
        <f>+AE74*(AH74*AJ74)</f>
        <v>1868.5333333333333</v>
      </c>
      <c r="AD74" s="175" t="s">
        <v>52</v>
      </c>
      <c r="AE74" s="159">
        <f>S74</f>
        <v>196</v>
      </c>
      <c r="AF74" s="175" t="s">
        <v>54</v>
      </c>
      <c r="AG74" s="175" t="s">
        <v>55</v>
      </c>
      <c r="AH74" s="301">
        <f>'Calcul CmO et PmO'!L380</f>
        <v>1</v>
      </c>
      <c r="AI74" s="313" t="s">
        <v>54</v>
      </c>
      <c r="AJ74" s="302">
        <f>'Calcul CmO et PmO'!F380</f>
        <v>9.5333333333333332</v>
      </c>
      <c r="AK74" s="175" t="s">
        <v>58</v>
      </c>
      <c r="AL74" s="661"/>
      <c r="AN74" s="658"/>
      <c r="AO74" s="158">
        <f>+AQ74*(AT74*AV74)</f>
        <v>582.12</v>
      </c>
      <c r="AP74" s="175" t="s">
        <v>52</v>
      </c>
      <c r="AQ74" s="159">
        <f>AE74</f>
        <v>196</v>
      </c>
      <c r="AR74" s="175" t="s">
        <v>54</v>
      </c>
      <c r="AS74" s="175" t="s">
        <v>55</v>
      </c>
      <c r="AT74" s="161">
        <v>0.1</v>
      </c>
      <c r="AU74" s="175" t="s">
        <v>54</v>
      </c>
      <c r="AV74" s="302">
        <f>'Calcul CmO, PmO, Etc.'!E28</f>
        <v>29.7</v>
      </c>
      <c r="AW74" s="175" t="s">
        <v>58</v>
      </c>
      <c r="AX74" s="661"/>
      <c r="AZ74" s="658"/>
      <c r="BA74" s="158">
        <f>+BC74*(BF74*BH74)</f>
        <v>0</v>
      </c>
      <c r="BB74" s="175" t="s">
        <v>52</v>
      </c>
      <c r="BC74" s="159">
        <f>G74</f>
        <v>196</v>
      </c>
      <c r="BD74" s="175" t="s">
        <v>54</v>
      </c>
      <c r="BE74" s="175" t="s">
        <v>55</v>
      </c>
      <c r="BF74" s="160">
        <f>J74</f>
        <v>2.1</v>
      </c>
      <c r="BG74" s="175" t="s">
        <v>54</v>
      </c>
      <c r="BH74" s="208">
        <v>0</v>
      </c>
      <c r="BI74" s="175" t="s">
        <v>58</v>
      </c>
      <c r="BJ74" s="661"/>
      <c r="BL74" s="658"/>
      <c r="BM74" s="158">
        <f>E74-BA74</f>
        <v>3394.7200000000003</v>
      </c>
      <c r="BN74" s="175" t="s">
        <v>52</v>
      </c>
      <c r="BO74" s="159">
        <f>G74</f>
        <v>196</v>
      </c>
      <c r="BP74" s="175" t="s">
        <v>54</v>
      </c>
      <c r="BQ74" s="175" t="s">
        <v>55</v>
      </c>
      <c r="BR74" s="160">
        <f>J74</f>
        <v>2.1</v>
      </c>
      <c r="BS74" s="175" t="s">
        <v>54</v>
      </c>
      <c r="BT74" s="158">
        <f>BM74/BO74/BR74</f>
        <v>8.2476190476190467</v>
      </c>
      <c r="BU74" s="175" t="s">
        <v>58</v>
      </c>
      <c r="BV74" s="661"/>
    </row>
    <row r="75" spans="2:74" ht="17" thickBot="1" x14ac:dyDescent="0.25">
      <c r="B75" s="673"/>
      <c r="C75" s="663"/>
      <c r="D75" s="659"/>
      <c r="E75" s="180"/>
      <c r="F75" s="180"/>
      <c r="G75" s="180"/>
      <c r="H75" s="180"/>
      <c r="I75" s="180"/>
      <c r="J75" s="180"/>
      <c r="K75" s="180"/>
      <c r="L75" s="180"/>
      <c r="M75" s="180"/>
      <c r="N75" s="662"/>
      <c r="P75" s="659"/>
      <c r="Q75" s="180"/>
      <c r="R75" s="180"/>
      <c r="S75" s="180"/>
      <c r="T75" s="180"/>
      <c r="U75" s="180"/>
      <c r="V75" s="326"/>
      <c r="W75" s="326"/>
      <c r="X75" s="326"/>
      <c r="Y75" s="180"/>
      <c r="Z75" s="662"/>
      <c r="AB75" s="659"/>
      <c r="AC75" s="180"/>
      <c r="AD75" s="180"/>
      <c r="AE75" s="180"/>
      <c r="AF75" s="180"/>
      <c r="AG75" s="180"/>
      <c r="AH75" s="326"/>
      <c r="AI75" s="326"/>
      <c r="AJ75" s="326"/>
      <c r="AK75" s="180"/>
      <c r="AL75" s="662"/>
      <c r="AN75" s="659"/>
      <c r="AO75" s="180"/>
      <c r="AP75" s="180"/>
      <c r="AQ75" s="180"/>
      <c r="AR75" s="180"/>
      <c r="AS75" s="180"/>
      <c r="AT75" s="180"/>
      <c r="AU75" s="180"/>
      <c r="AV75" s="420"/>
      <c r="AW75" s="180"/>
      <c r="AX75" s="662"/>
      <c r="AZ75" s="659"/>
      <c r="BA75" s="180"/>
      <c r="BB75" s="180"/>
      <c r="BC75" s="180"/>
      <c r="BD75" s="180"/>
      <c r="BE75" s="180"/>
      <c r="BF75" s="180"/>
      <c r="BG75" s="180"/>
      <c r="BH75" s="180"/>
      <c r="BI75" s="180"/>
      <c r="BJ75" s="662"/>
      <c r="BL75" s="659"/>
      <c r="BM75" s="180"/>
      <c r="BN75" s="180"/>
      <c r="BO75" s="180"/>
      <c r="BP75" s="180"/>
      <c r="BQ75" s="180"/>
      <c r="BR75" s="180"/>
      <c r="BS75" s="180"/>
      <c r="BT75" s="180"/>
      <c r="BU75" s="180"/>
      <c r="BV75" s="662"/>
    </row>
    <row r="76" spans="2:74" ht="10" customHeight="1" thickTop="1" thickBot="1" x14ac:dyDescent="0.2">
      <c r="C76" s="150"/>
      <c r="V76" s="307"/>
      <c r="W76" s="307"/>
      <c r="X76" s="307"/>
      <c r="AH76" s="307"/>
      <c r="AI76" s="307"/>
      <c r="AJ76" s="307"/>
      <c r="AV76" s="307"/>
    </row>
    <row r="77" spans="2:74" ht="17" thickTop="1" x14ac:dyDescent="0.2">
      <c r="B77" s="689" t="s">
        <v>1</v>
      </c>
      <c r="C77" s="656">
        <v>10</v>
      </c>
      <c r="D77" s="650" t="s">
        <v>49</v>
      </c>
      <c r="E77" s="183"/>
      <c r="F77" s="183"/>
      <c r="G77" s="214" t="str">
        <f>'Achalandage journalier'!M5</f>
        <v>Pér.10</v>
      </c>
      <c r="H77" s="183"/>
      <c r="I77" s="183"/>
      <c r="J77" s="183"/>
      <c r="K77" s="183"/>
      <c r="L77" s="183"/>
      <c r="M77" s="183"/>
      <c r="N77" s="647" t="s">
        <v>50</v>
      </c>
      <c r="P77" s="650" t="s">
        <v>49</v>
      </c>
      <c r="Q77" s="183"/>
      <c r="R77" s="183"/>
      <c r="S77" s="214" t="str">
        <f>G77</f>
        <v>Pér.10</v>
      </c>
      <c r="T77" s="183"/>
      <c r="U77" s="183"/>
      <c r="V77" s="327"/>
      <c r="W77" s="327"/>
      <c r="X77" s="327"/>
      <c r="Y77" s="183"/>
      <c r="Z77" s="647" t="s">
        <v>50</v>
      </c>
      <c r="AB77" s="650" t="s">
        <v>49</v>
      </c>
      <c r="AC77" s="183"/>
      <c r="AD77" s="183"/>
      <c r="AE77" s="214" t="str">
        <f>S77</f>
        <v>Pér.10</v>
      </c>
      <c r="AF77" s="183"/>
      <c r="AG77" s="183"/>
      <c r="AH77" s="327"/>
      <c r="AI77" s="327"/>
      <c r="AJ77" s="327"/>
      <c r="AK77" s="183"/>
      <c r="AL77" s="647" t="s">
        <v>50</v>
      </c>
      <c r="AN77" s="650" t="s">
        <v>49</v>
      </c>
      <c r="AO77" s="183"/>
      <c r="AP77" s="183"/>
      <c r="AQ77" s="214" t="str">
        <f>AE77</f>
        <v>Pér.10</v>
      </c>
      <c r="AR77" s="183"/>
      <c r="AS77" s="183"/>
      <c r="AT77" s="183"/>
      <c r="AU77" s="183"/>
      <c r="AV77" s="421"/>
      <c r="AW77" s="183"/>
      <c r="AX77" s="647" t="s">
        <v>50</v>
      </c>
      <c r="AZ77" s="650" t="s">
        <v>49</v>
      </c>
      <c r="BA77" s="183"/>
      <c r="BB77" s="183"/>
      <c r="BC77" s="214" t="str">
        <f>AQ77</f>
        <v>Pér.10</v>
      </c>
      <c r="BD77" s="183"/>
      <c r="BE77" s="183"/>
      <c r="BF77" s="183"/>
      <c r="BG77" s="183"/>
      <c r="BH77" s="183"/>
      <c r="BI77" s="183"/>
      <c r="BJ77" s="647" t="s">
        <v>50</v>
      </c>
      <c r="BL77" s="650" t="s">
        <v>49</v>
      </c>
      <c r="BM77" s="183"/>
      <c r="BN77" s="183"/>
      <c r="BO77" s="214" t="str">
        <f>BC77</f>
        <v>Pér.10</v>
      </c>
      <c r="BP77" s="183"/>
      <c r="BQ77" s="183"/>
      <c r="BR77" s="183"/>
      <c r="BS77" s="183"/>
      <c r="BT77" s="183"/>
      <c r="BU77" s="183"/>
      <c r="BV77" s="647" t="s">
        <v>50</v>
      </c>
    </row>
    <row r="78" spans="2:74" ht="16" x14ac:dyDescent="0.2">
      <c r="B78" s="690"/>
      <c r="C78" s="656"/>
      <c r="D78" s="651"/>
      <c r="E78" s="184"/>
      <c r="F78" s="184"/>
      <c r="G78" s="184"/>
      <c r="H78" s="184"/>
      <c r="I78" s="184"/>
      <c r="J78" s="184"/>
      <c r="K78" s="184"/>
      <c r="L78" s="184"/>
      <c r="M78" s="184"/>
      <c r="N78" s="648"/>
      <c r="P78" s="651"/>
      <c r="Q78" s="184"/>
      <c r="R78" s="184"/>
      <c r="S78" s="184"/>
      <c r="T78" s="184"/>
      <c r="U78" s="184"/>
      <c r="V78" s="328"/>
      <c r="W78" s="328"/>
      <c r="X78" s="328"/>
      <c r="Y78" s="184"/>
      <c r="Z78" s="648"/>
      <c r="AB78" s="651"/>
      <c r="AC78" s="184"/>
      <c r="AD78" s="184"/>
      <c r="AE78" s="184"/>
      <c r="AF78" s="184"/>
      <c r="AG78" s="184"/>
      <c r="AH78" s="328"/>
      <c r="AI78" s="328"/>
      <c r="AJ78" s="328"/>
      <c r="AK78" s="184"/>
      <c r="AL78" s="648"/>
      <c r="AN78" s="651"/>
      <c r="AO78" s="184"/>
      <c r="AP78" s="184"/>
      <c r="AQ78" s="184"/>
      <c r="AR78" s="184"/>
      <c r="AS78" s="184"/>
      <c r="AT78" s="184"/>
      <c r="AU78" s="184"/>
      <c r="AV78" s="422"/>
      <c r="AW78" s="184"/>
      <c r="AX78" s="648"/>
      <c r="AZ78" s="651"/>
      <c r="BA78" s="184"/>
      <c r="BB78" s="184"/>
      <c r="BC78" s="184"/>
      <c r="BD78" s="184"/>
      <c r="BE78" s="184"/>
      <c r="BF78" s="184"/>
      <c r="BG78" s="184"/>
      <c r="BH78" s="184"/>
      <c r="BI78" s="184"/>
      <c r="BJ78" s="648"/>
      <c r="BL78" s="651"/>
      <c r="BM78" s="184"/>
      <c r="BN78" s="184"/>
      <c r="BO78" s="184"/>
      <c r="BP78" s="184"/>
      <c r="BQ78" s="184"/>
      <c r="BR78" s="184"/>
      <c r="BS78" s="184"/>
      <c r="BT78" s="184"/>
      <c r="BU78" s="184"/>
      <c r="BV78" s="648"/>
    </row>
    <row r="79" spans="2:74" ht="21" x14ac:dyDescent="0.25">
      <c r="B79" s="690"/>
      <c r="C79" s="656"/>
      <c r="D79" s="651"/>
      <c r="E79" s="185" t="str">
        <f>E71</f>
        <v>Demande mensuelle</v>
      </c>
      <c r="F79" s="185" t="s">
        <v>52</v>
      </c>
      <c r="G79" s="185" t="str">
        <f>G71</f>
        <v>Achalandage mensuel</v>
      </c>
      <c r="H79" s="185" t="s">
        <v>54</v>
      </c>
      <c r="I79" s="185" t="s">
        <v>55</v>
      </c>
      <c r="J79" s="185" t="str">
        <f>J71</f>
        <v>Um/A</v>
      </c>
      <c r="K79" s="185" t="s">
        <v>54</v>
      </c>
      <c r="L79" s="185" t="str">
        <f>L71</f>
        <v>PmO</v>
      </c>
      <c r="M79" s="185" t="s">
        <v>58</v>
      </c>
      <c r="N79" s="648"/>
      <c r="P79" s="651"/>
      <c r="Q79" s="185" t="str">
        <f>Q71</f>
        <v>Demande mensuelle</v>
      </c>
      <c r="R79" s="185" t="s">
        <v>52</v>
      </c>
      <c r="S79" s="185" t="str">
        <f>S71</f>
        <v>Achalandage mensuel</v>
      </c>
      <c r="T79" s="185" t="s">
        <v>54</v>
      </c>
      <c r="U79" s="185" t="s">
        <v>55</v>
      </c>
      <c r="V79" s="315" t="str">
        <f>V71</f>
        <v>Um/A</v>
      </c>
      <c r="W79" s="315" t="s">
        <v>54</v>
      </c>
      <c r="X79" s="315" t="str">
        <f>X71</f>
        <v>PmO</v>
      </c>
      <c r="Y79" s="185" t="s">
        <v>58</v>
      </c>
      <c r="Z79" s="648"/>
      <c r="AB79" s="651"/>
      <c r="AC79" s="185" t="str">
        <f>AC71</f>
        <v>Demande mensuelle</v>
      </c>
      <c r="AD79" s="185" t="s">
        <v>52</v>
      </c>
      <c r="AE79" s="185" t="str">
        <f>AE71</f>
        <v>Achalandage mensuel</v>
      </c>
      <c r="AF79" s="185" t="s">
        <v>54</v>
      </c>
      <c r="AG79" s="185" t="s">
        <v>55</v>
      </c>
      <c r="AH79" s="315" t="str">
        <f>AH71</f>
        <v>Um/A</v>
      </c>
      <c r="AI79" s="315" t="s">
        <v>54</v>
      </c>
      <c r="AJ79" s="315" t="str">
        <f>AJ71</f>
        <v>PmO</v>
      </c>
      <c r="AK79" s="185" t="s">
        <v>58</v>
      </c>
      <c r="AL79" s="648"/>
      <c r="AN79" s="651"/>
      <c r="AO79" s="185" t="str">
        <f>AO71</f>
        <v>Demande mensuelle</v>
      </c>
      <c r="AP79" s="185" t="s">
        <v>52</v>
      </c>
      <c r="AQ79" s="185" t="str">
        <f>AQ71</f>
        <v>Achalandage mensuel</v>
      </c>
      <c r="AR79" s="185" t="s">
        <v>54</v>
      </c>
      <c r="AS79" s="185" t="s">
        <v>55</v>
      </c>
      <c r="AT79" s="185" t="str">
        <f>AT71</f>
        <v>Um/A</v>
      </c>
      <c r="AU79" s="185" t="s">
        <v>54</v>
      </c>
      <c r="AV79" s="315" t="str">
        <f>AV71</f>
        <v>PmO</v>
      </c>
      <c r="AW79" s="185" t="s">
        <v>58</v>
      </c>
      <c r="AX79" s="648"/>
      <c r="AZ79" s="651"/>
      <c r="BA79" s="185" t="str">
        <f>BA71</f>
        <v>Coût mensuel</v>
      </c>
      <c r="BB79" s="185" t="s">
        <v>52</v>
      </c>
      <c r="BC79" s="185" t="str">
        <f>BC71</f>
        <v>Achalandage mensuel</v>
      </c>
      <c r="BD79" s="185" t="s">
        <v>54</v>
      </c>
      <c r="BE79" s="185" t="s">
        <v>55</v>
      </c>
      <c r="BF79" s="185" t="str">
        <f>BF71</f>
        <v>Um/A</v>
      </c>
      <c r="BG79" s="185" t="s">
        <v>54</v>
      </c>
      <c r="BH79" s="185" t="str">
        <f>BH71</f>
        <v>CmO</v>
      </c>
      <c r="BI79" s="185" t="s">
        <v>58</v>
      </c>
      <c r="BJ79" s="648"/>
      <c r="BL79" s="651"/>
      <c r="BM79" s="185" t="str">
        <f>BM71</f>
        <v>Bénéfice mensuel</v>
      </c>
      <c r="BN79" s="185" t="s">
        <v>52</v>
      </c>
      <c r="BO79" s="185" t="str">
        <f>BO71</f>
        <v>Achalandage mensuel</v>
      </c>
      <c r="BP79" s="185" t="s">
        <v>54</v>
      </c>
      <c r="BQ79" s="185" t="s">
        <v>55</v>
      </c>
      <c r="BR79" s="185" t="str">
        <f>BR71</f>
        <v>Um/A</v>
      </c>
      <c r="BS79" s="185" t="s">
        <v>54</v>
      </c>
      <c r="BT79" s="185" t="str">
        <f>BT71</f>
        <v>BmO</v>
      </c>
      <c r="BU79" s="185" t="s">
        <v>58</v>
      </c>
      <c r="BV79" s="648"/>
    </row>
    <row r="80" spans="2:74" ht="19" x14ac:dyDescent="0.25">
      <c r="B80" s="690"/>
      <c r="C80" s="656"/>
      <c r="D80" s="651"/>
      <c r="E80" s="186" t="s">
        <v>1</v>
      </c>
      <c r="F80" s="187"/>
      <c r="G80" s="186"/>
      <c r="H80" s="187"/>
      <c r="I80" s="187"/>
      <c r="J80" s="187"/>
      <c r="K80" s="187"/>
      <c r="L80" s="187"/>
      <c r="M80" s="187"/>
      <c r="N80" s="648"/>
      <c r="P80" s="651"/>
      <c r="Q80" s="186" t="s">
        <v>1</v>
      </c>
      <c r="R80" s="187"/>
      <c r="S80" s="186"/>
      <c r="T80" s="187"/>
      <c r="U80" s="187"/>
      <c r="V80" s="329"/>
      <c r="W80" s="329"/>
      <c r="X80" s="329"/>
      <c r="Y80" s="187"/>
      <c r="Z80" s="648"/>
      <c r="AB80" s="651"/>
      <c r="AC80" s="186" t="s">
        <v>1</v>
      </c>
      <c r="AD80" s="187"/>
      <c r="AE80" s="186"/>
      <c r="AF80" s="187"/>
      <c r="AG80" s="187"/>
      <c r="AH80" s="329"/>
      <c r="AI80" s="329"/>
      <c r="AJ80" s="329"/>
      <c r="AK80" s="187"/>
      <c r="AL80" s="648"/>
      <c r="AN80" s="651"/>
      <c r="AO80" s="186" t="s">
        <v>1</v>
      </c>
      <c r="AP80" s="187"/>
      <c r="AQ80" s="186"/>
      <c r="AR80" s="187"/>
      <c r="AS80" s="187"/>
      <c r="AT80" s="187"/>
      <c r="AU80" s="187"/>
      <c r="AV80" s="329"/>
      <c r="AW80" s="187"/>
      <c r="AX80" s="648"/>
      <c r="AZ80" s="651"/>
      <c r="BA80" s="186" t="s">
        <v>1</v>
      </c>
      <c r="BB80" s="187"/>
      <c r="BC80" s="186"/>
      <c r="BD80" s="187"/>
      <c r="BE80" s="187"/>
      <c r="BF80" s="187"/>
      <c r="BG80" s="187"/>
      <c r="BH80" s="187"/>
      <c r="BI80" s="187"/>
      <c r="BJ80" s="648"/>
      <c r="BL80" s="651"/>
      <c r="BM80" s="186" t="s">
        <v>1</v>
      </c>
      <c r="BN80" s="187"/>
      <c r="BO80" s="186"/>
      <c r="BP80" s="187"/>
      <c r="BQ80" s="187"/>
      <c r="BR80" s="187"/>
      <c r="BS80" s="187"/>
      <c r="BT80" s="187"/>
      <c r="BU80" s="187"/>
      <c r="BV80" s="648"/>
    </row>
    <row r="81" spans="2:74" ht="26" x14ac:dyDescent="0.3">
      <c r="B81" s="690"/>
      <c r="C81" s="656"/>
      <c r="D81" s="651"/>
      <c r="E81" s="188" t="str">
        <f>E73</f>
        <v>D</v>
      </c>
      <c r="F81" s="189"/>
      <c r="G81" s="188" t="str">
        <f>G73</f>
        <v>A</v>
      </c>
      <c r="H81" s="189"/>
      <c r="I81" s="189"/>
      <c r="J81" s="188" t="str">
        <f>+J79</f>
        <v>Um/A</v>
      </c>
      <c r="K81" s="189"/>
      <c r="L81" s="188" t="str">
        <f>+L79</f>
        <v>PmO</v>
      </c>
      <c r="M81" s="189"/>
      <c r="N81" s="648"/>
      <c r="P81" s="651"/>
      <c r="Q81" s="188" t="str">
        <f>Q73</f>
        <v>D</v>
      </c>
      <c r="R81" s="189"/>
      <c r="S81" s="188" t="str">
        <f>S73</f>
        <v>A</v>
      </c>
      <c r="T81" s="189"/>
      <c r="U81" s="189"/>
      <c r="V81" s="316" t="str">
        <f>+V79</f>
        <v>Um/A</v>
      </c>
      <c r="W81" s="330"/>
      <c r="X81" s="316" t="str">
        <f>+X79</f>
        <v>PmO</v>
      </c>
      <c r="Y81" s="189"/>
      <c r="Z81" s="648"/>
      <c r="AB81" s="651"/>
      <c r="AC81" s="188" t="str">
        <f>AC73</f>
        <v>D</v>
      </c>
      <c r="AD81" s="189"/>
      <c r="AE81" s="188" t="str">
        <f>AE73</f>
        <v>A</v>
      </c>
      <c r="AF81" s="189"/>
      <c r="AG81" s="189"/>
      <c r="AH81" s="316" t="str">
        <f>+AH79</f>
        <v>Um/A</v>
      </c>
      <c r="AI81" s="330"/>
      <c r="AJ81" s="316" t="str">
        <f>+AJ79</f>
        <v>PmO</v>
      </c>
      <c r="AK81" s="189"/>
      <c r="AL81" s="648"/>
      <c r="AN81" s="651"/>
      <c r="AO81" s="188" t="str">
        <f>AO73</f>
        <v>D</v>
      </c>
      <c r="AP81" s="189"/>
      <c r="AQ81" s="188" t="str">
        <f>AQ73</f>
        <v>A</v>
      </c>
      <c r="AR81" s="189"/>
      <c r="AS81" s="189"/>
      <c r="AT81" s="188" t="str">
        <f>+AT79</f>
        <v>Um/A</v>
      </c>
      <c r="AU81" s="189"/>
      <c r="AV81" s="316" t="str">
        <f>+AV79</f>
        <v>PmO</v>
      </c>
      <c r="AW81" s="189"/>
      <c r="AX81" s="648"/>
      <c r="AZ81" s="651"/>
      <c r="BA81" s="188" t="str">
        <f>BA73</f>
        <v xml:space="preserve">C </v>
      </c>
      <c r="BB81" s="189"/>
      <c r="BC81" s="188" t="str">
        <f>BC73</f>
        <v>A</v>
      </c>
      <c r="BD81" s="189"/>
      <c r="BE81" s="189"/>
      <c r="BF81" s="188" t="str">
        <f>+BF79</f>
        <v>Um/A</v>
      </c>
      <c r="BG81" s="189"/>
      <c r="BH81" s="188" t="str">
        <f>+BH79</f>
        <v>CmO</v>
      </c>
      <c r="BI81" s="189"/>
      <c r="BJ81" s="648"/>
      <c r="BL81" s="651"/>
      <c r="BM81" s="188" t="str">
        <f>BM73</f>
        <v xml:space="preserve">B </v>
      </c>
      <c r="BN81" s="189"/>
      <c r="BO81" s="188" t="str">
        <f>BO73</f>
        <v>A</v>
      </c>
      <c r="BP81" s="189"/>
      <c r="BQ81" s="189"/>
      <c r="BR81" s="188" t="str">
        <f>+BR79</f>
        <v>Um/A</v>
      </c>
      <c r="BS81" s="189"/>
      <c r="BT81" s="188" t="str">
        <f>+BT79</f>
        <v>BmO</v>
      </c>
      <c r="BU81" s="189"/>
      <c r="BV81" s="648"/>
    </row>
    <row r="82" spans="2:74" ht="21" x14ac:dyDescent="0.25">
      <c r="B82" s="690"/>
      <c r="C82" s="656"/>
      <c r="D82" s="651"/>
      <c r="E82" s="158">
        <f>+Q82+AC82+AO82</f>
        <v>3394.7200000000003</v>
      </c>
      <c r="F82" s="185" t="s">
        <v>52</v>
      </c>
      <c r="G82" s="159">
        <f>'% Occupation'!M19</f>
        <v>196</v>
      </c>
      <c r="H82" s="185" t="s">
        <v>54</v>
      </c>
      <c r="I82" s="185" t="s">
        <v>55</v>
      </c>
      <c r="J82" s="160">
        <f>+V82+AH82+AT82</f>
        <v>2.1</v>
      </c>
      <c r="K82" s="185" t="s">
        <v>54</v>
      </c>
      <c r="L82" s="158">
        <f>E82/G82/J82</f>
        <v>8.2476190476190467</v>
      </c>
      <c r="M82" s="185" t="s">
        <v>58</v>
      </c>
      <c r="N82" s="648"/>
      <c r="P82" s="651"/>
      <c r="Q82" s="158">
        <f>+S82*(V82*X82)</f>
        <v>944.06666666666683</v>
      </c>
      <c r="R82" s="185" t="s">
        <v>52</v>
      </c>
      <c r="S82" s="159">
        <f>G82</f>
        <v>196</v>
      </c>
      <c r="T82" s="185" t="s">
        <v>54</v>
      </c>
      <c r="U82" s="185" t="s">
        <v>55</v>
      </c>
      <c r="V82" s="301">
        <f>'Calcul CmO et PmO'!L408</f>
        <v>1</v>
      </c>
      <c r="W82" s="315" t="s">
        <v>54</v>
      </c>
      <c r="X82" s="302">
        <f>'Calcul CmO et PmO'!F408</f>
        <v>4.8166666666666673</v>
      </c>
      <c r="Y82" s="185" t="s">
        <v>58</v>
      </c>
      <c r="Z82" s="648"/>
      <c r="AB82" s="651"/>
      <c r="AC82" s="158">
        <f>+AE82*(AH82*AJ82)</f>
        <v>1868.5333333333333</v>
      </c>
      <c r="AD82" s="185" t="s">
        <v>52</v>
      </c>
      <c r="AE82" s="159">
        <f>S82</f>
        <v>196</v>
      </c>
      <c r="AF82" s="185" t="s">
        <v>54</v>
      </c>
      <c r="AG82" s="185" t="s">
        <v>55</v>
      </c>
      <c r="AH82" s="301">
        <f>'Calcul CmO et PmO'!L423</f>
        <v>1</v>
      </c>
      <c r="AI82" s="315" t="s">
        <v>54</v>
      </c>
      <c r="AJ82" s="302">
        <f>'Calcul CmO et PmO'!F423</f>
        <v>9.5333333333333332</v>
      </c>
      <c r="AK82" s="185" t="s">
        <v>58</v>
      </c>
      <c r="AL82" s="648"/>
      <c r="AN82" s="651"/>
      <c r="AO82" s="158">
        <f>+AQ82*(AT82*AV82)</f>
        <v>582.12</v>
      </c>
      <c r="AP82" s="185" t="s">
        <v>52</v>
      </c>
      <c r="AQ82" s="159">
        <f>AE82</f>
        <v>196</v>
      </c>
      <c r="AR82" s="185" t="s">
        <v>54</v>
      </c>
      <c r="AS82" s="185" t="s">
        <v>55</v>
      </c>
      <c r="AT82" s="161">
        <v>0.1</v>
      </c>
      <c r="AU82" s="185" t="s">
        <v>54</v>
      </c>
      <c r="AV82" s="302">
        <f>'Calcul CmO, PmO, Etc.'!E28</f>
        <v>29.7</v>
      </c>
      <c r="AW82" s="185" t="s">
        <v>58</v>
      </c>
      <c r="AX82" s="648"/>
      <c r="AZ82" s="651"/>
      <c r="BA82" s="158">
        <f>+BC82*(BF82*BH82)</f>
        <v>0</v>
      </c>
      <c r="BB82" s="185" t="s">
        <v>52</v>
      </c>
      <c r="BC82" s="159">
        <f>G82</f>
        <v>196</v>
      </c>
      <c r="BD82" s="185" t="s">
        <v>54</v>
      </c>
      <c r="BE82" s="185" t="s">
        <v>55</v>
      </c>
      <c r="BF82" s="160">
        <f>J82</f>
        <v>2.1</v>
      </c>
      <c r="BG82" s="185" t="s">
        <v>54</v>
      </c>
      <c r="BH82" s="208">
        <v>0</v>
      </c>
      <c r="BI82" s="185" t="s">
        <v>58</v>
      </c>
      <c r="BJ82" s="648"/>
      <c r="BL82" s="651"/>
      <c r="BM82" s="158">
        <f>E82-BA82</f>
        <v>3394.7200000000003</v>
      </c>
      <c r="BN82" s="185" t="s">
        <v>52</v>
      </c>
      <c r="BO82" s="159">
        <f>G82</f>
        <v>196</v>
      </c>
      <c r="BP82" s="185" t="s">
        <v>54</v>
      </c>
      <c r="BQ82" s="185" t="s">
        <v>55</v>
      </c>
      <c r="BR82" s="160">
        <f>J82</f>
        <v>2.1</v>
      </c>
      <c r="BS82" s="185" t="s">
        <v>54</v>
      </c>
      <c r="BT82" s="158">
        <f>BM82/BO82/BR82</f>
        <v>8.2476190476190467</v>
      </c>
      <c r="BU82" s="185" t="s">
        <v>58</v>
      </c>
      <c r="BV82" s="648"/>
    </row>
    <row r="83" spans="2:74" ht="17" thickBot="1" x14ac:dyDescent="0.25">
      <c r="B83" s="690"/>
      <c r="C83" s="656"/>
      <c r="D83" s="652"/>
      <c r="E83" s="190"/>
      <c r="F83" s="190"/>
      <c r="G83" s="190"/>
      <c r="H83" s="190"/>
      <c r="I83" s="190"/>
      <c r="J83" s="190"/>
      <c r="K83" s="190"/>
      <c r="L83" s="190"/>
      <c r="M83" s="190"/>
      <c r="N83" s="649"/>
      <c r="P83" s="652"/>
      <c r="Q83" s="190"/>
      <c r="R83" s="190"/>
      <c r="S83" s="190"/>
      <c r="T83" s="190"/>
      <c r="U83" s="190"/>
      <c r="V83" s="331"/>
      <c r="W83" s="331"/>
      <c r="X83" s="331"/>
      <c r="Y83" s="190"/>
      <c r="Z83" s="649"/>
      <c r="AB83" s="652"/>
      <c r="AC83" s="190"/>
      <c r="AD83" s="190"/>
      <c r="AE83" s="190"/>
      <c r="AF83" s="190"/>
      <c r="AG83" s="190"/>
      <c r="AH83" s="331"/>
      <c r="AI83" s="331"/>
      <c r="AJ83" s="331"/>
      <c r="AK83" s="190"/>
      <c r="AL83" s="649"/>
      <c r="AN83" s="652"/>
      <c r="AO83" s="190"/>
      <c r="AP83" s="190"/>
      <c r="AQ83" s="190"/>
      <c r="AR83" s="190"/>
      <c r="AS83" s="190"/>
      <c r="AT83" s="190"/>
      <c r="AU83" s="190"/>
      <c r="AV83" s="423"/>
      <c r="AW83" s="190"/>
      <c r="AX83" s="649"/>
      <c r="AZ83" s="652"/>
      <c r="BA83" s="190"/>
      <c r="BB83" s="190"/>
      <c r="BC83" s="190"/>
      <c r="BD83" s="190"/>
      <c r="BE83" s="190"/>
      <c r="BF83" s="190"/>
      <c r="BG83" s="190"/>
      <c r="BH83" s="190"/>
      <c r="BI83" s="190"/>
      <c r="BJ83" s="649"/>
      <c r="BL83" s="652"/>
      <c r="BM83" s="190"/>
      <c r="BN83" s="190"/>
      <c r="BO83" s="190"/>
      <c r="BP83" s="190"/>
      <c r="BQ83" s="190"/>
      <c r="BR83" s="190"/>
      <c r="BS83" s="190"/>
      <c r="BT83" s="190"/>
      <c r="BU83" s="190"/>
      <c r="BV83" s="649"/>
    </row>
    <row r="84" spans="2:74" ht="5" customHeight="1" thickTop="1" thickBot="1" x14ac:dyDescent="0.2">
      <c r="B84" s="690"/>
      <c r="C84" s="150"/>
      <c r="V84" s="307"/>
      <c r="W84" s="307"/>
      <c r="X84" s="307"/>
      <c r="AH84" s="307"/>
      <c r="AI84" s="307"/>
      <c r="AJ84" s="307"/>
      <c r="AV84" s="307"/>
    </row>
    <row r="85" spans="2:74" ht="17" thickTop="1" x14ac:dyDescent="0.2">
      <c r="B85" s="690"/>
      <c r="C85" s="656">
        <v>11</v>
      </c>
      <c r="D85" s="650" t="s">
        <v>49</v>
      </c>
      <c r="E85" s="183"/>
      <c r="F85" s="183"/>
      <c r="G85" s="214" t="str">
        <f>'Achalandage journalier'!N5</f>
        <v>Pér.11</v>
      </c>
      <c r="H85" s="183"/>
      <c r="I85" s="183"/>
      <c r="J85" s="183"/>
      <c r="K85" s="183"/>
      <c r="L85" s="183"/>
      <c r="M85" s="183"/>
      <c r="N85" s="647" t="s">
        <v>50</v>
      </c>
      <c r="P85" s="650" t="s">
        <v>49</v>
      </c>
      <c r="Q85" s="183"/>
      <c r="R85" s="183"/>
      <c r="S85" s="214" t="str">
        <f>G85</f>
        <v>Pér.11</v>
      </c>
      <c r="T85" s="183"/>
      <c r="U85" s="183"/>
      <c r="V85" s="327"/>
      <c r="W85" s="327"/>
      <c r="X85" s="327"/>
      <c r="Y85" s="183"/>
      <c r="Z85" s="647" t="s">
        <v>50</v>
      </c>
      <c r="AB85" s="650" t="s">
        <v>49</v>
      </c>
      <c r="AC85" s="183"/>
      <c r="AD85" s="183"/>
      <c r="AE85" s="214" t="str">
        <f>S85</f>
        <v>Pér.11</v>
      </c>
      <c r="AF85" s="183"/>
      <c r="AG85" s="183"/>
      <c r="AH85" s="327"/>
      <c r="AI85" s="327"/>
      <c r="AJ85" s="327"/>
      <c r="AK85" s="183"/>
      <c r="AL85" s="647" t="s">
        <v>50</v>
      </c>
      <c r="AN85" s="650" t="s">
        <v>49</v>
      </c>
      <c r="AO85" s="183"/>
      <c r="AP85" s="183"/>
      <c r="AQ85" s="214" t="str">
        <f>AE85</f>
        <v>Pér.11</v>
      </c>
      <c r="AR85" s="183"/>
      <c r="AS85" s="183"/>
      <c r="AT85" s="183"/>
      <c r="AU85" s="183"/>
      <c r="AV85" s="421"/>
      <c r="AW85" s="183"/>
      <c r="AX85" s="647" t="s">
        <v>50</v>
      </c>
      <c r="AZ85" s="650" t="s">
        <v>49</v>
      </c>
      <c r="BA85" s="183"/>
      <c r="BB85" s="183"/>
      <c r="BC85" s="214" t="str">
        <f>AQ85</f>
        <v>Pér.11</v>
      </c>
      <c r="BD85" s="183"/>
      <c r="BE85" s="183"/>
      <c r="BF85" s="183"/>
      <c r="BG85" s="183"/>
      <c r="BH85" s="183"/>
      <c r="BI85" s="183"/>
      <c r="BJ85" s="647" t="s">
        <v>50</v>
      </c>
      <c r="BL85" s="650" t="s">
        <v>49</v>
      </c>
      <c r="BM85" s="183"/>
      <c r="BN85" s="183"/>
      <c r="BO85" s="214" t="str">
        <f>BC85</f>
        <v>Pér.11</v>
      </c>
      <c r="BP85" s="183"/>
      <c r="BQ85" s="183"/>
      <c r="BR85" s="183"/>
      <c r="BS85" s="183"/>
      <c r="BT85" s="183"/>
      <c r="BU85" s="183"/>
      <c r="BV85" s="647" t="s">
        <v>50</v>
      </c>
    </row>
    <row r="86" spans="2:74" ht="16" x14ac:dyDescent="0.2">
      <c r="B86" s="690"/>
      <c r="C86" s="656"/>
      <c r="D86" s="651"/>
      <c r="E86" s="184"/>
      <c r="F86" s="184"/>
      <c r="G86" s="184"/>
      <c r="H86" s="184"/>
      <c r="I86" s="184"/>
      <c r="J86" s="184"/>
      <c r="K86" s="184"/>
      <c r="L86" s="184"/>
      <c r="M86" s="184"/>
      <c r="N86" s="648"/>
      <c r="P86" s="651"/>
      <c r="Q86" s="184"/>
      <c r="R86" s="184"/>
      <c r="S86" s="184"/>
      <c r="T86" s="184"/>
      <c r="U86" s="184"/>
      <c r="V86" s="328"/>
      <c r="W86" s="328"/>
      <c r="X86" s="328"/>
      <c r="Y86" s="184"/>
      <c r="Z86" s="648"/>
      <c r="AB86" s="651"/>
      <c r="AC86" s="184"/>
      <c r="AD86" s="184"/>
      <c r="AE86" s="184"/>
      <c r="AF86" s="184"/>
      <c r="AG86" s="184"/>
      <c r="AH86" s="328"/>
      <c r="AI86" s="328"/>
      <c r="AJ86" s="328"/>
      <c r="AK86" s="184"/>
      <c r="AL86" s="648"/>
      <c r="AN86" s="651"/>
      <c r="AO86" s="184"/>
      <c r="AP86" s="184"/>
      <c r="AQ86" s="184"/>
      <c r="AR86" s="184"/>
      <c r="AS86" s="184"/>
      <c r="AT86" s="184"/>
      <c r="AU86" s="184"/>
      <c r="AV86" s="422"/>
      <c r="AW86" s="184"/>
      <c r="AX86" s="648"/>
      <c r="AZ86" s="651"/>
      <c r="BA86" s="184"/>
      <c r="BB86" s="184"/>
      <c r="BC86" s="184"/>
      <c r="BD86" s="184"/>
      <c r="BE86" s="184"/>
      <c r="BF86" s="184"/>
      <c r="BG86" s="184"/>
      <c r="BH86" s="184"/>
      <c r="BI86" s="184"/>
      <c r="BJ86" s="648"/>
      <c r="BL86" s="651"/>
      <c r="BM86" s="184"/>
      <c r="BN86" s="184"/>
      <c r="BO86" s="184"/>
      <c r="BP86" s="184"/>
      <c r="BQ86" s="184"/>
      <c r="BR86" s="184"/>
      <c r="BS86" s="184"/>
      <c r="BT86" s="184"/>
      <c r="BU86" s="184"/>
      <c r="BV86" s="648"/>
    </row>
    <row r="87" spans="2:74" ht="21" x14ac:dyDescent="0.25">
      <c r="B87" s="690"/>
      <c r="C87" s="656"/>
      <c r="D87" s="651"/>
      <c r="E87" s="185" t="str">
        <f>E79</f>
        <v>Demande mensuelle</v>
      </c>
      <c r="F87" s="185" t="s">
        <v>52</v>
      </c>
      <c r="G87" s="185" t="str">
        <f>G79</f>
        <v>Achalandage mensuel</v>
      </c>
      <c r="H87" s="185" t="s">
        <v>54</v>
      </c>
      <c r="I87" s="185" t="s">
        <v>55</v>
      </c>
      <c r="J87" s="185" t="str">
        <f>J79</f>
        <v>Um/A</v>
      </c>
      <c r="K87" s="185" t="s">
        <v>54</v>
      </c>
      <c r="L87" s="185" t="str">
        <f>L79</f>
        <v>PmO</v>
      </c>
      <c r="M87" s="185" t="s">
        <v>58</v>
      </c>
      <c r="N87" s="648"/>
      <c r="P87" s="651"/>
      <c r="Q87" s="185" t="str">
        <f>Q79</f>
        <v>Demande mensuelle</v>
      </c>
      <c r="R87" s="185" t="s">
        <v>52</v>
      </c>
      <c r="S87" s="185" t="str">
        <f>S79</f>
        <v>Achalandage mensuel</v>
      </c>
      <c r="T87" s="185" t="s">
        <v>54</v>
      </c>
      <c r="U87" s="185" t="s">
        <v>55</v>
      </c>
      <c r="V87" s="315" t="str">
        <f>V79</f>
        <v>Um/A</v>
      </c>
      <c r="W87" s="315" t="s">
        <v>54</v>
      </c>
      <c r="X87" s="315" t="str">
        <f>X79</f>
        <v>PmO</v>
      </c>
      <c r="Y87" s="185" t="s">
        <v>58</v>
      </c>
      <c r="Z87" s="648"/>
      <c r="AB87" s="651"/>
      <c r="AC87" s="185" t="str">
        <f>AC79</f>
        <v>Demande mensuelle</v>
      </c>
      <c r="AD87" s="185" t="s">
        <v>52</v>
      </c>
      <c r="AE87" s="185" t="str">
        <f>AE79</f>
        <v>Achalandage mensuel</v>
      </c>
      <c r="AF87" s="185" t="s">
        <v>54</v>
      </c>
      <c r="AG87" s="185" t="s">
        <v>55</v>
      </c>
      <c r="AH87" s="315" t="str">
        <f>AH79</f>
        <v>Um/A</v>
      </c>
      <c r="AI87" s="315" t="s">
        <v>54</v>
      </c>
      <c r="AJ87" s="315" t="str">
        <f>AJ79</f>
        <v>PmO</v>
      </c>
      <c r="AK87" s="185" t="s">
        <v>58</v>
      </c>
      <c r="AL87" s="648"/>
      <c r="AN87" s="651"/>
      <c r="AO87" s="185" t="str">
        <f>AO79</f>
        <v>Demande mensuelle</v>
      </c>
      <c r="AP87" s="185" t="s">
        <v>52</v>
      </c>
      <c r="AQ87" s="185" t="str">
        <f>AQ79</f>
        <v>Achalandage mensuel</v>
      </c>
      <c r="AR87" s="185" t="s">
        <v>54</v>
      </c>
      <c r="AS87" s="185" t="s">
        <v>55</v>
      </c>
      <c r="AT87" s="185" t="str">
        <f>AT79</f>
        <v>Um/A</v>
      </c>
      <c r="AU87" s="185" t="s">
        <v>54</v>
      </c>
      <c r="AV87" s="315" t="str">
        <f>AV79</f>
        <v>PmO</v>
      </c>
      <c r="AW87" s="185" t="s">
        <v>58</v>
      </c>
      <c r="AX87" s="648"/>
      <c r="AZ87" s="651"/>
      <c r="BA87" s="185" t="str">
        <f>BA79</f>
        <v>Coût mensuel</v>
      </c>
      <c r="BB87" s="185" t="s">
        <v>52</v>
      </c>
      <c r="BC87" s="185" t="str">
        <f>BC79</f>
        <v>Achalandage mensuel</v>
      </c>
      <c r="BD87" s="185" t="s">
        <v>54</v>
      </c>
      <c r="BE87" s="185" t="s">
        <v>55</v>
      </c>
      <c r="BF87" s="185" t="str">
        <f>BF79</f>
        <v>Um/A</v>
      </c>
      <c r="BG87" s="185" t="s">
        <v>54</v>
      </c>
      <c r="BH87" s="185" t="str">
        <f>BH79</f>
        <v>CmO</v>
      </c>
      <c r="BI87" s="185" t="s">
        <v>58</v>
      </c>
      <c r="BJ87" s="648"/>
      <c r="BL87" s="651"/>
      <c r="BM87" s="185" t="str">
        <f>BM79</f>
        <v>Bénéfice mensuel</v>
      </c>
      <c r="BN87" s="185" t="s">
        <v>52</v>
      </c>
      <c r="BO87" s="185" t="str">
        <f>BO79</f>
        <v>Achalandage mensuel</v>
      </c>
      <c r="BP87" s="185" t="s">
        <v>54</v>
      </c>
      <c r="BQ87" s="185" t="s">
        <v>55</v>
      </c>
      <c r="BR87" s="185" t="str">
        <f>BR79</f>
        <v>Um/A</v>
      </c>
      <c r="BS87" s="185" t="s">
        <v>54</v>
      </c>
      <c r="BT87" s="185" t="str">
        <f>BT79</f>
        <v>BmO</v>
      </c>
      <c r="BU87" s="185" t="s">
        <v>58</v>
      </c>
      <c r="BV87" s="648"/>
    </row>
    <row r="88" spans="2:74" ht="19" x14ac:dyDescent="0.25">
      <c r="B88" s="690"/>
      <c r="C88" s="656"/>
      <c r="D88" s="651"/>
      <c r="E88" s="186" t="s">
        <v>1</v>
      </c>
      <c r="F88" s="187"/>
      <c r="G88" s="186"/>
      <c r="H88" s="187"/>
      <c r="I88" s="187"/>
      <c r="J88" s="187"/>
      <c r="K88" s="187"/>
      <c r="L88" s="187"/>
      <c r="M88" s="187"/>
      <c r="N88" s="648"/>
      <c r="P88" s="651"/>
      <c r="Q88" s="186" t="s">
        <v>1</v>
      </c>
      <c r="R88" s="187"/>
      <c r="S88" s="186"/>
      <c r="T88" s="187"/>
      <c r="U88" s="187"/>
      <c r="V88" s="329"/>
      <c r="W88" s="329"/>
      <c r="X88" s="329"/>
      <c r="Y88" s="187"/>
      <c r="Z88" s="648"/>
      <c r="AB88" s="651"/>
      <c r="AC88" s="186" t="s">
        <v>1</v>
      </c>
      <c r="AD88" s="187"/>
      <c r="AE88" s="186"/>
      <c r="AF88" s="187"/>
      <c r="AG88" s="187"/>
      <c r="AH88" s="329"/>
      <c r="AI88" s="329"/>
      <c r="AJ88" s="329"/>
      <c r="AK88" s="187"/>
      <c r="AL88" s="648"/>
      <c r="AN88" s="651"/>
      <c r="AO88" s="186" t="s">
        <v>1</v>
      </c>
      <c r="AP88" s="187"/>
      <c r="AQ88" s="186"/>
      <c r="AR88" s="187"/>
      <c r="AS88" s="187"/>
      <c r="AT88" s="187"/>
      <c r="AU88" s="187"/>
      <c r="AV88" s="329"/>
      <c r="AW88" s="187"/>
      <c r="AX88" s="648"/>
      <c r="AZ88" s="651"/>
      <c r="BA88" s="186" t="s">
        <v>1</v>
      </c>
      <c r="BB88" s="187"/>
      <c r="BC88" s="186"/>
      <c r="BD88" s="187"/>
      <c r="BE88" s="187"/>
      <c r="BF88" s="187"/>
      <c r="BG88" s="187"/>
      <c r="BH88" s="187"/>
      <c r="BI88" s="187"/>
      <c r="BJ88" s="648"/>
      <c r="BL88" s="651"/>
      <c r="BM88" s="186" t="s">
        <v>1</v>
      </c>
      <c r="BN88" s="187"/>
      <c r="BO88" s="186"/>
      <c r="BP88" s="187"/>
      <c r="BQ88" s="187"/>
      <c r="BR88" s="187"/>
      <c r="BS88" s="187"/>
      <c r="BT88" s="187"/>
      <c r="BU88" s="187"/>
      <c r="BV88" s="648"/>
    </row>
    <row r="89" spans="2:74" ht="26" x14ac:dyDescent="0.3">
      <c r="B89" s="690"/>
      <c r="C89" s="656"/>
      <c r="D89" s="651"/>
      <c r="E89" s="188" t="str">
        <f>E81</f>
        <v>D</v>
      </c>
      <c r="F89" s="189"/>
      <c r="G89" s="188" t="str">
        <f>G81</f>
        <v>A</v>
      </c>
      <c r="H89" s="189"/>
      <c r="I89" s="189"/>
      <c r="J89" s="188" t="str">
        <f>+J87</f>
        <v>Um/A</v>
      </c>
      <c r="K89" s="189"/>
      <c r="L89" s="188" t="str">
        <f>+L87</f>
        <v>PmO</v>
      </c>
      <c r="M89" s="189"/>
      <c r="N89" s="648"/>
      <c r="P89" s="651"/>
      <c r="Q89" s="188" t="str">
        <f>Q81</f>
        <v>D</v>
      </c>
      <c r="R89" s="189"/>
      <c r="S89" s="188" t="str">
        <f>S81</f>
        <v>A</v>
      </c>
      <c r="T89" s="189"/>
      <c r="U89" s="189"/>
      <c r="V89" s="316" t="str">
        <f>+V87</f>
        <v>Um/A</v>
      </c>
      <c r="W89" s="330"/>
      <c r="X89" s="316" t="str">
        <f>+X87</f>
        <v>PmO</v>
      </c>
      <c r="Y89" s="189"/>
      <c r="Z89" s="648"/>
      <c r="AB89" s="651"/>
      <c r="AC89" s="188" t="str">
        <f>AC81</f>
        <v>D</v>
      </c>
      <c r="AD89" s="189"/>
      <c r="AE89" s="188" t="str">
        <f>AE81</f>
        <v>A</v>
      </c>
      <c r="AF89" s="189"/>
      <c r="AG89" s="189"/>
      <c r="AH89" s="316" t="str">
        <f>+AH87</f>
        <v>Um/A</v>
      </c>
      <c r="AI89" s="330"/>
      <c r="AJ89" s="316" t="str">
        <f>+AJ87</f>
        <v>PmO</v>
      </c>
      <c r="AK89" s="189"/>
      <c r="AL89" s="648"/>
      <c r="AN89" s="651"/>
      <c r="AO89" s="188" t="str">
        <f>AO81</f>
        <v>D</v>
      </c>
      <c r="AP89" s="189"/>
      <c r="AQ89" s="188" t="str">
        <f>AQ81</f>
        <v>A</v>
      </c>
      <c r="AR89" s="189"/>
      <c r="AS89" s="189"/>
      <c r="AT89" s="188" t="str">
        <f>+AT87</f>
        <v>Um/A</v>
      </c>
      <c r="AU89" s="189"/>
      <c r="AV89" s="316" t="str">
        <f>+AV87</f>
        <v>PmO</v>
      </c>
      <c r="AW89" s="189"/>
      <c r="AX89" s="648"/>
      <c r="AZ89" s="651"/>
      <c r="BA89" s="188" t="str">
        <f>BA81</f>
        <v xml:space="preserve">C </v>
      </c>
      <c r="BB89" s="189"/>
      <c r="BC89" s="188" t="str">
        <f>BC81</f>
        <v>A</v>
      </c>
      <c r="BD89" s="189"/>
      <c r="BE89" s="189"/>
      <c r="BF89" s="188" t="str">
        <f>+BF87</f>
        <v>Um/A</v>
      </c>
      <c r="BG89" s="189"/>
      <c r="BH89" s="188" t="str">
        <f>+BH87</f>
        <v>CmO</v>
      </c>
      <c r="BI89" s="189"/>
      <c r="BJ89" s="648"/>
      <c r="BL89" s="651"/>
      <c r="BM89" s="188" t="str">
        <f>BM81</f>
        <v xml:space="preserve">B </v>
      </c>
      <c r="BN89" s="189"/>
      <c r="BO89" s="188" t="str">
        <f>BO81</f>
        <v>A</v>
      </c>
      <c r="BP89" s="189"/>
      <c r="BQ89" s="189"/>
      <c r="BR89" s="188" t="str">
        <f>+BR87</f>
        <v>Um/A</v>
      </c>
      <c r="BS89" s="189"/>
      <c r="BT89" s="188" t="str">
        <f>+BT87</f>
        <v>BmO</v>
      </c>
      <c r="BU89" s="189"/>
      <c r="BV89" s="648"/>
    </row>
    <row r="90" spans="2:74" ht="21" x14ac:dyDescent="0.25">
      <c r="B90" s="690"/>
      <c r="C90" s="656"/>
      <c r="D90" s="651"/>
      <c r="E90" s="158">
        <f>+Q90+AC90+AO90</f>
        <v>3394.7200000000003</v>
      </c>
      <c r="F90" s="185" t="s">
        <v>52</v>
      </c>
      <c r="G90" s="159">
        <f>'% Occupation'!N19</f>
        <v>196</v>
      </c>
      <c r="H90" s="185" t="s">
        <v>54</v>
      </c>
      <c r="I90" s="185" t="s">
        <v>55</v>
      </c>
      <c r="J90" s="160">
        <f>+V90+AH90+AT90</f>
        <v>2.1</v>
      </c>
      <c r="K90" s="185" t="s">
        <v>54</v>
      </c>
      <c r="L90" s="158">
        <f>E90/G90/J90</f>
        <v>8.2476190476190467</v>
      </c>
      <c r="M90" s="185" t="s">
        <v>58</v>
      </c>
      <c r="N90" s="648"/>
      <c r="P90" s="651"/>
      <c r="Q90" s="158">
        <f>+S90*(V90*X90)</f>
        <v>944.06666666666683</v>
      </c>
      <c r="R90" s="185" t="s">
        <v>52</v>
      </c>
      <c r="S90" s="159">
        <f>G90</f>
        <v>196</v>
      </c>
      <c r="T90" s="185" t="s">
        <v>54</v>
      </c>
      <c r="U90" s="185" t="s">
        <v>55</v>
      </c>
      <c r="V90" s="301">
        <f>'Calcul CmO et PmO'!L451</f>
        <v>1</v>
      </c>
      <c r="W90" s="315" t="s">
        <v>54</v>
      </c>
      <c r="X90" s="302">
        <f>'Calcul CmO et PmO'!F451</f>
        <v>4.8166666666666673</v>
      </c>
      <c r="Y90" s="185" t="s">
        <v>58</v>
      </c>
      <c r="Z90" s="648"/>
      <c r="AB90" s="651"/>
      <c r="AC90" s="158">
        <f>+AE90*(AH90*AJ90)</f>
        <v>1868.5333333333333</v>
      </c>
      <c r="AD90" s="185" t="s">
        <v>52</v>
      </c>
      <c r="AE90" s="159">
        <f>S90</f>
        <v>196</v>
      </c>
      <c r="AF90" s="185" t="s">
        <v>54</v>
      </c>
      <c r="AG90" s="185" t="s">
        <v>55</v>
      </c>
      <c r="AH90" s="301">
        <f>'Calcul CmO et PmO'!L466</f>
        <v>1</v>
      </c>
      <c r="AI90" s="315" t="s">
        <v>54</v>
      </c>
      <c r="AJ90" s="302">
        <f>'Calcul CmO et PmO'!F466</f>
        <v>9.5333333333333332</v>
      </c>
      <c r="AK90" s="185" t="s">
        <v>58</v>
      </c>
      <c r="AL90" s="648"/>
      <c r="AN90" s="651"/>
      <c r="AO90" s="158">
        <f>+AQ90*(AT90*AV90)</f>
        <v>582.12</v>
      </c>
      <c r="AP90" s="185" t="s">
        <v>52</v>
      </c>
      <c r="AQ90" s="159">
        <f>AE90</f>
        <v>196</v>
      </c>
      <c r="AR90" s="185" t="s">
        <v>54</v>
      </c>
      <c r="AS90" s="185" t="s">
        <v>55</v>
      </c>
      <c r="AT90" s="161">
        <v>0.1</v>
      </c>
      <c r="AU90" s="185" t="s">
        <v>54</v>
      </c>
      <c r="AV90" s="302">
        <f>'Calcul CmO, PmO, Etc.'!E28</f>
        <v>29.7</v>
      </c>
      <c r="AW90" s="185" t="s">
        <v>58</v>
      </c>
      <c r="AX90" s="648"/>
      <c r="AZ90" s="651"/>
      <c r="BA90" s="158">
        <f>+BC90*(BF90*BH90)</f>
        <v>0</v>
      </c>
      <c r="BB90" s="185" t="s">
        <v>52</v>
      </c>
      <c r="BC90" s="159">
        <f>G90</f>
        <v>196</v>
      </c>
      <c r="BD90" s="185" t="s">
        <v>54</v>
      </c>
      <c r="BE90" s="185" t="s">
        <v>55</v>
      </c>
      <c r="BF90" s="160">
        <f>J90</f>
        <v>2.1</v>
      </c>
      <c r="BG90" s="185" t="s">
        <v>54</v>
      </c>
      <c r="BH90" s="208">
        <v>0</v>
      </c>
      <c r="BI90" s="185" t="s">
        <v>58</v>
      </c>
      <c r="BJ90" s="648"/>
      <c r="BL90" s="651"/>
      <c r="BM90" s="158">
        <f>E90-BA90</f>
        <v>3394.7200000000003</v>
      </c>
      <c r="BN90" s="185" t="s">
        <v>52</v>
      </c>
      <c r="BO90" s="159">
        <f>G90</f>
        <v>196</v>
      </c>
      <c r="BP90" s="185" t="s">
        <v>54</v>
      </c>
      <c r="BQ90" s="185" t="s">
        <v>55</v>
      </c>
      <c r="BR90" s="160">
        <f>J90</f>
        <v>2.1</v>
      </c>
      <c r="BS90" s="185" t="s">
        <v>54</v>
      </c>
      <c r="BT90" s="158">
        <f>BM90/BO90/BR90</f>
        <v>8.2476190476190467</v>
      </c>
      <c r="BU90" s="185" t="s">
        <v>58</v>
      </c>
      <c r="BV90" s="648"/>
    </row>
    <row r="91" spans="2:74" ht="17" thickBot="1" x14ac:dyDescent="0.25">
      <c r="B91" s="690"/>
      <c r="C91" s="656"/>
      <c r="D91" s="652"/>
      <c r="E91" s="190"/>
      <c r="F91" s="190"/>
      <c r="G91" s="190"/>
      <c r="H91" s="190"/>
      <c r="I91" s="190"/>
      <c r="J91" s="190"/>
      <c r="K91" s="190"/>
      <c r="L91" s="190"/>
      <c r="M91" s="190"/>
      <c r="N91" s="649"/>
      <c r="P91" s="652"/>
      <c r="Q91" s="190"/>
      <c r="R91" s="190"/>
      <c r="S91" s="190"/>
      <c r="T91" s="190"/>
      <c r="U91" s="190"/>
      <c r="V91" s="331"/>
      <c r="W91" s="331"/>
      <c r="X91" s="331"/>
      <c r="Y91" s="190"/>
      <c r="Z91" s="649"/>
      <c r="AB91" s="652"/>
      <c r="AC91" s="190"/>
      <c r="AD91" s="190"/>
      <c r="AE91" s="190"/>
      <c r="AF91" s="190"/>
      <c r="AG91" s="190"/>
      <c r="AH91" s="331"/>
      <c r="AI91" s="331"/>
      <c r="AJ91" s="331"/>
      <c r="AK91" s="190"/>
      <c r="AL91" s="649"/>
      <c r="AN91" s="652"/>
      <c r="AO91" s="190"/>
      <c r="AP91" s="190"/>
      <c r="AQ91" s="190"/>
      <c r="AR91" s="190"/>
      <c r="AS91" s="190"/>
      <c r="AT91" s="190"/>
      <c r="AU91" s="190"/>
      <c r="AV91" s="423"/>
      <c r="AW91" s="190"/>
      <c r="AX91" s="649"/>
      <c r="AZ91" s="652"/>
      <c r="BA91" s="190"/>
      <c r="BB91" s="190"/>
      <c r="BC91" s="190"/>
      <c r="BD91" s="190"/>
      <c r="BE91" s="190"/>
      <c r="BF91" s="190"/>
      <c r="BG91" s="190"/>
      <c r="BH91" s="190"/>
      <c r="BI91" s="190"/>
      <c r="BJ91" s="649"/>
      <c r="BL91" s="652"/>
      <c r="BM91" s="190"/>
      <c r="BN91" s="190"/>
      <c r="BO91" s="190"/>
      <c r="BP91" s="190"/>
      <c r="BQ91" s="190"/>
      <c r="BR91" s="190"/>
      <c r="BS91" s="190"/>
      <c r="BT91" s="190"/>
      <c r="BU91" s="190"/>
      <c r="BV91" s="649"/>
    </row>
    <row r="92" spans="2:74" ht="5" customHeight="1" thickTop="1" thickBot="1" x14ac:dyDescent="0.2">
      <c r="B92" s="690"/>
      <c r="C92" s="150"/>
      <c r="V92" s="307"/>
      <c r="W92" s="307"/>
      <c r="X92" s="307"/>
      <c r="AH92" s="307"/>
      <c r="AI92" s="307"/>
      <c r="AJ92" s="307"/>
      <c r="AV92" s="307"/>
    </row>
    <row r="93" spans="2:74" ht="17" thickTop="1" x14ac:dyDescent="0.2">
      <c r="B93" s="690"/>
      <c r="C93" s="656">
        <v>12</v>
      </c>
      <c r="D93" s="650" t="s">
        <v>49</v>
      </c>
      <c r="E93" s="183"/>
      <c r="F93" s="183"/>
      <c r="G93" s="214" t="str">
        <f>'Achalandage journalier'!O5</f>
        <v>Pér.12</v>
      </c>
      <c r="H93" s="183"/>
      <c r="I93" s="183"/>
      <c r="J93" s="183"/>
      <c r="K93" s="183"/>
      <c r="L93" s="183"/>
      <c r="M93" s="183"/>
      <c r="N93" s="647" t="s">
        <v>50</v>
      </c>
      <c r="P93" s="650" t="s">
        <v>49</v>
      </c>
      <c r="Q93" s="183"/>
      <c r="R93" s="183"/>
      <c r="S93" s="213" t="str">
        <f>G93</f>
        <v>Pér.12</v>
      </c>
      <c r="T93" s="183"/>
      <c r="U93" s="183"/>
      <c r="V93" s="327"/>
      <c r="W93" s="327"/>
      <c r="X93" s="327"/>
      <c r="Y93" s="183"/>
      <c r="Z93" s="647" t="s">
        <v>50</v>
      </c>
      <c r="AB93" s="650" t="s">
        <v>49</v>
      </c>
      <c r="AC93" s="183"/>
      <c r="AD93" s="183"/>
      <c r="AE93" s="214" t="str">
        <f>S93</f>
        <v>Pér.12</v>
      </c>
      <c r="AF93" s="183"/>
      <c r="AG93" s="183"/>
      <c r="AH93" s="327"/>
      <c r="AI93" s="327"/>
      <c r="AJ93" s="327"/>
      <c r="AK93" s="183"/>
      <c r="AL93" s="647" t="s">
        <v>50</v>
      </c>
      <c r="AN93" s="650" t="s">
        <v>49</v>
      </c>
      <c r="AO93" s="183"/>
      <c r="AP93" s="183"/>
      <c r="AQ93" s="214" t="str">
        <f>AE93</f>
        <v>Pér.12</v>
      </c>
      <c r="AR93" s="183"/>
      <c r="AS93" s="183"/>
      <c r="AT93" s="183"/>
      <c r="AU93" s="183"/>
      <c r="AV93" s="421"/>
      <c r="AW93" s="183"/>
      <c r="AX93" s="647" t="s">
        <v>50</v>
      </c>
      <c r="AZ93" s="650" t="s">
        <v>49</v>
      </c>
      <c r="BA93" s="183"/>
      <c r="BB93" s="183"/>
      <c r="BC93" s="214" t="str">
        <f>AQ93</f>
        <v>Pér.12</v>
      </c>
      <c r="BD93" s="183"/>
      <c r="BE93" s="183"/>
      <c r="BF93" s="183"/>
      <c r="BG93" s="183"/>
      <c r="BH93" s="183"/>
      <c r="BI93" s="183"/>
      <c r="BJ93" s="647" t="s">
        <v>50</v>
      </c>
      <c r="BL93" s="650" t="s">
        <v>49</v>
      </c>
      <c r="BM93" s="183"/>
      <c r="BN93" s="183"/>
      <c r="BO93" s="214" t="str">
        <f>BC93</f>
        <v>Pér.12</v>
      </c>
      <c r="BP93" s="183"/>
      <c r="BQ93" s="183"/>
      <c r="BR93" s="183"/>
      <c r="BS93" s="183"/>
      <c r="BT93" s="183"/>
      <c r="BU93" s="183"/>
      <c r="BV93" s="647" t="s">
        <v>50</v>
      </c>
    </row>
    <row r="94" spans="2:74" ht="16" x14ac:dyDescent="0.2">
      <c r="B94" s="690"/>
      <c r="C94" s="656"/>
      <c r="D94" s="651"/>
      <c r="E94" s="184"/>
      <c r="F94" s="184"/>
      <c r="G94" s="184"/>
      <c r="H94" s="184"/>
      <c r="I94" s="184"/>
      <c r="J94" s="184"/>
      <c r="K94" s="184"/>
      <c r="L94" s="184"/>
      <c r="M94" s="184"/>
      <c r="N94" s="648"/>
      <c r="P94" s="651"/>
      <c r="Q94" s="184"/>
      <c r="R94" s="184"/>
      <c r="S94" s="184"/>
      <c r="T94" s="184"/>
      <c r="U94" s="184"/>
      <c r="V94" s="328"/>
      <c r="W94" s="328"/>
      <c r="X94" s="328"/>
      <c r="Y94" s="184"/>
      <c r="Z94" s="648"/>
      <c r="AB94" s="651"/>
      <c r="AC94" s="184"/>
      <c r="AD94" s="184"/>
      <c r="AE94" s="184"/>
      <c r="AF94" s="184"/>
      <c r="AG94" s="184"/>
      <c r="AH94" s="328"/>
      <c r="AI94" s="328"/>
      <c r="AJ94" s="328"/>
      <c r="AK94" s="184"/>
      <c r="AL94" s="648"/>
      <c r="AN94" s="651"/>
      <c r="AO94" s="184"/>
      <c r="AP94" s="184"/>
      <c r="AQ94" s="184"/>
      <c r="AR94" s="184"/>
      <c r="AS94" s="184"/>
      <c r="AT94" s="184"/>
      <c r="AU94" s="184"/>
      <c r="AV94" s="422"/>
      <c r="AW94" s="184"/>
      <c r="AX94" s="648"/>
      <c r="AZ94" s="651"/>
      <c r="BA94" s="184"/>
      <c r="BB94" s="184"/>
      <c r="BC94" s="184"/>
      <c r="BD94" s="184"/>
      <c r="BE94" s="184"/>
      <c r="BF94" s="184"/>
      <c r="BG94" s="184"/>
      <c r="BH94" s="184"/>
      <c r="BI94" s="184"/>
      <c r="BJ94" s="648"/>
      <c r="BL94" s="651"/>
      <c r="BM94" s="184"/>
      <c r="BN94" s="184"/>
      <c r="BO94" s="184"/>
      <c r="BP94" s="184"/>
      <c r="BQ94" s="184"/>
      <c r="BR94" s="184"/>
      <c r="BS94" s="184"/>
      <c r="BT94" s="184"/>
      <c r="BU94" s="184"/>
      <c r="BV94" s="648"/>
    </row>
    <row r="95" spans="2:74" ht="21" x14ac:dyDescent="0.25">
      <c r="B95" s="690"/>
      <c r="C95" s="656"/>
      <c r="D95" s="651"/>
      <c r="E95" s="185" t="str">
        <f>E87</f>
        <v>Demande mensuelle</v>
      </c>
      <c r="F95" s="185" t="s">
        <v>52</v>
      </c>
      <c r="G95" s="185" t="str">
        <f>G87</f>
        <v>Achalandage mensuel</v>
      </c>
      <c r="H95" s="185" t="s">
        <v>54</v>
      </c>
      <c r="I95" s="185" t="s">
        <v>55</v>
      </c>
      <c r="J95" s="185" t="str">
        <f>J87</f>
        <v>Um/A</v>
      </c>
      <c r="K95" s="185" t="s">
        <v>54</v>
      </c>
      <c r="L95" s="185" t="str">
        <f>L87</f>
        <v>PmO</v>
      </c>
      <c r="M95" s="185" t="s">
        <v>58</v>
      </c>
      <c r="N95" s="648"/>
      <c r="P95" s="651"/>
      <c r="Q95" s="185" t="str">
        <f>Q87</f>
        <v>Demande mensuelle</v>
      </c>
      <c r="R95" s="185" t="s">
        <v>52</v>
      </c>
      <c r="S95" s="185" t="str">
        <f>S87</f>
        <v>Achalandage mensuel</v>
      </c>
      <c r="T95" s="185" t="s">
        <v>54</v>
      </c>
      <c r="U95" s="185" t="s">
        <v>55</v>
      </c>
      <c r="V95" s="315" t="str">
        <f>V87</f>
        <v>Um/A</v>
      </c>
      <c r="W95" s="315" t="s">
        <v>54</v>
      </c>
      <c r="X95" s="315" t="str">
        <f>X87</f>
        <v>PmO</v>
      </c>
      <c r="Y95" s="185" t="s">
        <v>58</v>
      </c>
      <c r="Z95" s="648"/>
      <c r="AB95" s="651"/>
      <c r="AC95" s="185" t="str">
        <f>AC87</f>
        <v>Demande mensuelle</v>
      </c>
      <c r="AD95" s="185" t="s">
        <v>52</v>
      </c>
      <c r="AE95" s="185" t="str">
        <f>AE87</f>
        <v>Achalandage mensuel</v>
      </c>
      <c r="AF95" s="185" t="s">
        <v>54</v>
      </c>
      <c r="AG95" s="185" t="s">
        <v>55</v>
      </c>
      <c r="AH95" s="315" t="str">
        <f>AH87</f>
        <v>Um/A</v>
      </c>
      <c r="AI95" s="315" t="s">
        <v>54</v>
      </c>
      <c r="AJ95" s="315" t="str">
        <f>AJ87</f>
        <v>PmO</v>
      </c>
      <c r="AK95" s="185" t="s">
        <v>58</v>
      </c>
      <c r="AL95" s="648"/>
      <c r="AN95" s="651"/>
      <c r="AO95" s="185" t="str">
        <f>AO87</f>
        <v>Demande mensuelle</v>
      </c>
      <c r="AP95" s="185" t="s">
        <v>52</v>
      </c>
      <c r="AQ95" s="185" t="str">
        <f>AQ87</f>
        <v>Achalandage mensuel</v>
      </c>
      <c r="AR95" s="185" t="s">
        <v>54</v>
      </c>
      <c r="AS95" s="185" t="s">
        <v>55</v>
      </c>
      <c r="AT95" s="185" t="str">
        <f>AT87</f>
        <v>Um/A</v>
      </c>
      <c r="AU95" s="185" t="s">
        <v>54</v>
      </c>
      <c r="AV95" s="315" t="str">
        <f>AV87</f>
        <v>PmO</v>
      </c>
      <c r="AW95" s="185" t="s">
        <v>58</v>
      </c>
      <c r="AX95" s="648"/>
      <c r="AZ95" s="651"/>
      <c r="BA95" s="185" t="str">
        <f>BA87</f>
        <v>Coût mensuel</v>
      </c>
      <c r="BB95" s="185" t="s">
        <v>52</v>
      </c>
      <c r="BC95" s="185" t="str">
        <f>BC87</f>
        <v>Achalandage mensuel</v>
      </c>
      <c r="BD95" s="185" t="s">
        <v>54</v>
      </c>
      <c r="BE95" s="185" t="s">
        <v>55</v>
      </c>
      <c r="BF95" s="185" t="str">
        <f>BF87</f>
        <v>Um/A</v>
      </c>
      <c r="BG95" s="185" t="s">
        <v>54</v>
      </c>
      <c r="BH95" s="185" t="str">
        <f>BH87</f>
        <v>CmO</v>
      </c>
      <c r="BI95" s="185" t="s">
        <v>58</v>
      </c>
      <c r="BJ95" s="648"/>
      <c r="BL95" s="651"/>
      <c r="BM95" s="185" t="str">
        <f>BM87</f>
        <v>Bénéfice mensuel</v>
      </c>
      <c r="BN95" s="185" t="s">
        <v>52</v>
      </c>
      <c r="BO95" s="185" t="str">
        <f>BO87</f>
        <v>Achalandage mensuel</v>
      </c>
      <c r="BP95" s="185" t="s">
        <v>54</v>
      </c>
      <c r="BQ95" s="185" t="s">
        <v>55</v>
      </c>
      <c r="BR95" s="185" t="str">
        <f>BR87</f>
        <v>Um/A</v>
      </c>
      <c r="BS95" s="185" t="s">
        <v>54</v>
      </c>
      <c r="BT95" s="185" t="str">
        <f>BT87</f>
        <v>BmO</v>
      </c>
      <c r="BU95" s="185" t="s">
        <v>58</v>
      </c>
      <c r="BV95" s="648"/>
    </row>
    <row r="96" spans="2:74" ht="19" x14ac:dyDescent="0.25">
      <c r="B96" s="690"/>
      <c r="C96" s="656"/>
      <c r="D96" s="651"/>
      <c r="E96" s="186" t="s">
        <v>1</v>
      </c>
      <c r="F96" s="187"/>
      <c r="G96" s="186"/>
      <c r="H96" s="187"/>
      <c r="I96" s="187"/>
      <c r="J96" s="187"/>
      <c r="K96" s="187"/>
      <c r="L96" s="187"/>
      <c r="M96" s="187"/>
      <c r="N96" s="648"/>
      <c r="P96" s="651"/>
      <c r="Q96" s="186" t="s">
        <v>1</v>
      </c>
      <c r="R96" s="187"/>
      <c r="S96" s="186"/>
      <c r="T96" s="187"/>
      <c r="U96" s="187"/>
      <c r="V96" s="329"/>
      <c r="W96" s="329"/>
      <c r="X96" s="329"/>
      <c r="Y96" s="187"/>
      <c r="Z96" s="648"/>
      <c r="AB96" s="651"/>
      <c r="AC96" s="186" t="s">
        <v>1</v>
      </c>
      <c r="AD96" s="187"/>
      <c r="AE96" s="186"/>
      <c r="AF96" s="187"/>
      <c r="AG96" s="187"/>
      <c r="AH96" s="329"/>
      <c r="AI96" s="329"/>
      <c r="AJ96" s="329"/>
      <c r="AK96" s="187"/>
      <c r="AL96" s="648"/>
      <c r="AN96" s="651"/>
      <c r="AO96" s="186" t="s">
        <v>1</v>
      </c>
      <c r="AP96" s="187"/>
      <c r="AQ96" s="186"/>
      <c r="AR96" s="187"/>
      <c r="AS96" s="187"/>
      <c r="AT96" s="187"/>
      <c r="AU96" s="187"/>
      <c r="AV96" s="329"/>
      <c r="AW96" s="187"/>
      <c r="AX96" s="648"/>
      <c r="AZ96" s="651"/>
      <c r="BA96" s="186" t="s">
        <v>1</v>
      </c>
      <c r="BB96" s="187"/>
      <c r="BC96" s="186"/>
      <c r="BD96" s="187"/>
      <c r="BE96" s="187"/>
      <c r="BF96" s="187"/>
      <c r="BG96" s="187"/>
      <c r="BH96" s="187"/>
      <c r="BI96" s="187"/>
      <c r="BJ96" s="648"/>
      <c r="BL96" s="651"/>
      <c r="BM96" s="186" t="s">
        <v>1</v>
      </c>
      <c r="BN96" s="187"/>
      <c r="BO96" s="186"/>
      <c r="BP96" s="187"/>
      <c r="BQ96" s="187"/>
      <c r="BR96" s="187"/>
      <c r="BS96" s="187"/>
      <c r="BT96" s="187"/>
      <c r="BU96" s="187"/>
      <c r="BV96" s="648"/>
    </row>
    <row r="97" spans="1:84" ht="26" x14ac:dyDescent="0.3">
      <c r="B97" s="690"/>
      <c r="C97" s="656"/>
      <c r="D97" s="651"/>
      <c r="E97" s="188" t="str">
        <f>E89</f>
        <v>D</v>
      </c>
      <c r="F97" s="189"/>
      <c r="G97" s="188" t="str">
        <f>G89</f>
        <v>A</v>
      </c>
      <c r="H97" s="189"/>
      <c r="I97" s="189"/>
      <c r="J97" s="188" t="str">
        <f>+J95</f>
        <v>Um/A</v>
      </c>
      <c r="K97" s="189"/>
      <c r="L97" s="188" t="str">
        <f>+L95</f>
        <v>PmO</v>
      </c>
      <c r="M97" s="189"/>
      <c r="N97" s="648"/>
      <c r="P97" s="651"/>
      <c r="Q97" s="188" t="str">
        <f>Q89</f>
        <v>D</v>
      </c>
      <c r="R97" s="189"/>
      <c r="S97" s="188" t="str">
        <f>S89</f>
        <v>A</v>
      </c>
      <c r="T97" s="189"/>
      <c r="U97" s="189"/>
      <c r="V97" s="316" t="str">
        <f>+V95</f>
        <v>Um/A</v>
      </c>
      <c r="W97" s="330"/>
      <c r="X97" s="316" t="str">
        <f>+X95</f>
        <v>PmO</v>
      </c>
      <c r="Y97" s="189"/>
      <c r="Z97" s="648"/>
      <c r="AB97" s="651"/>
      <c r="AC97" s="188" t="str">
        <f>AC89</f>
        <v>D</v>
      </c>
      <c r="AD97" s="189"/>
      <c r="AE97" s="188" t="str">
        <f>AE89</f>
        <v>A</v>
      </c>
      <c r="AF97" s="189"/>
      <c r="AG97" s="189"/>
      <c r="AH97" s="316" t="str">
        <f>+AH95</f>
        <v>Um/A</v>
      </c>
      <c r="AI97" s="330"/>
      <c r="AJ97" s="316" t="str">
        <f>+AJ95</f>
        <v>PmO</v>
      </c>
      <c r="AK97" s="189"/>
      <c r="AL97" s="648"/>
      <c r="AN97" s="651"/>
      <c r="AO97" s="188" t="str">
        <f>AO89</f>
        <v>D</v>
      </c>
      <c r="AP97" s="189"/>
      <c r="AQ97" s="188" t="str">
        <f>AQ89</f>
        <v>A</v>
      </c>
      <c r="AR97" s="189"/>
      <c r="AS97" s="189"/>
      <c r="AT97" s="188" t="str">
        <f>+AT95</f>
        <v>Um/A</v>
      </c>
      <c r="AU97" s="189"/>
      <c r="AV97" s="316" t="str">
        <f>+AV95</f>
        <v>PmO</v>
      </c>
      <c r="AW97" s="189"/>
      <c r="AX97" s="648"/>
      <c r="AZ97" s="651"/>
      <c r="BA97" s="188" t="str">
        <f>BA89</f>
        <v xml:space="preserve">C </v>
      </c>
      <c r="BB97" s="189"/>
      <c r="BC97" s="188" t="str">
        <f>BC89</f>
        <v>A</v>
      </c>
      <c r="BD97" s="189"/>
      <c r="BE97" s="189"/>
      <c r="BF97" s="188" t="str">
        <f>+BF95</f>
        <v>Um/A</v>
      </c>
      <c r="BG97" s="189"/>
      <c r="BH97" s="188" t="str">
        <f>+BH95</f>
        <v>CmO</v>
      </c>
      <c r="BI97" s="189"/>
      <c r="BJ97" s="648"/>
      <c r="BL97" s="651"/>
      <c r="BM97" s="188" t="str">
        <f>BM89</f>
        <v xml:space="preserve">B </v>
      </c>
      <c r="BN97" s="189"/>
      <c r="BO97" s="188" t="str">
        <f>BO89</f>
        <v>A</v>
      </c>
      <c r="BP97" s="189"/>
      <c r="BQ97" s="189"/>
      <c r="BR97" s="188" t="str">
        <f>+BR95</f>
        <v>Um/A</v>
      </c>
      <c r="BS97" s="189"/>
      <c r="BT97" s="188" t="str">
        <f>+BT95</f>
        <v>BmO</v>
      </c>
      <c r="BU97" s="189"/>
      <c r="BV97" s="648"/>
    </row>
    <row r="98" spans="1:84" ht="21" x14ac:dyDescent="0.25">
      <c r="B98" s="690"/>
      <c r="C98" s="656"/>
      <c r="D98" s="651"/>
      <c r="E98" s="158">
        <f>+Q98+AC98+AO98</f>
        <v>3394.7200000000003</v>
      </c>
      <c r="F98" s="185" t="s">
        <v>52</v>
      </c>
      <c r="G98" s="159">
        <f>'% Occupation'!O19</f>
        <v>196</v>
      </c>
      <c r="H98" s="185" t="s">
        <v>54</v>
      </c>
      <c r="I98" s="185" t="s">
        <v>55</v>
      </c>
      <c r="J98" s="160">
        <f>+V98+AH98+AT98</f>
        <v>2.1</v>
      </c>
      <c r="K98" s="185" t="s">
        <v>54</v>
      </c>
      <c r="L98" s="158">
        <f>E98/G98/J98</f>
        <v>8.2476190476190467</v>
      </c>
      <c r="M98" s="185" t="s">
        <v>58</v>
      </c>
      <c r="N98" s="648"/>
      <c r="P98" s="651"/>
      <c r="Q98" s="158">
        <f>+S98*(V98*X98)</f>
        <v>944.06666666666683</v>
      </c>
      <c r="R98" s="185" t="s">
        <v>52</v>
      </c>
      <c r="S98" s="159">
        <f>G98</f>
        <v>196</v>
      </c>
      <c r="T98" s="185" t="s">
        <v>54</v>
      </c>
      <c r="U98" s="185" t="s">
        <v>55</v>
      </c>
      <c r="V98" s="301">
        <f>'Calcul CmO et PmO'!L494</f>
        <v>1</v>
      </c>
      <c r="W98" s="315" t="s">
        <v>54</v>
      </c>
      <c r="X98" s="302">
        <f>'Calcul CmO et PmO'!F494</f>
        <v>4.8166666666666673</v>
      </c>
      <c r="Y98" s="185" t="s">
        <v>58</v>
      </c>
      <c r="Z98" s="648"/>
      <c r="AB98" s="651"/>
      <c r="AC98" s="158">
        <f>+AE98*(AH98*AJ98)</f>
        <v>1868.5333333333333</v>
      </c>
      <c r="AD98" s="185" t="s">
        <v>52</v>
      </c>
      <c r="AE98" s="159">
        <f>S98</f>
        <v>196</v>
      </c>
      <c r="AF98" s="185" t="s">
        <v>54</v>
      </c>
      <c r="AG98" s="185" t="s">
        <v>55</v>
      </c>
      <c r="AH98" s="301">
        <f>'Calcul CmO et PmO'!L509</f>
        <v>1</v>
      </c>
      <c r="AI98" s="315" t="s">
        <v>54</v>
      </c>
      <c r="AJ98" s="302">
        <f>'Calcul CmO et PmO'!F509</f>
        <v>9.5333333333333332</v>
      </c>
      <c r="AK98" s="185" t="s">
        <v>58</v>
      </c>
      <c r="AL98" s="648"/>
      <c r="AN98" s="651"/>
      <c r="AO98" s="158">
        <f>+AQ98*(AT98*AV98)</f>
        <v>582.12</v>
      </c>
      <c r="AP98" s="185" t="s">
        <v>52</v>
      </c>
      <c r="AQ98" s="159">
        <f>AE98</f>
        <v>196</v>
      </c>
      <c r="AR98" s="185" t="s">
        <v>54</v>
      </c>
      <c r="AS98" s="185" t="s">
        <v>55</v>
      </c>
      <c r="AT98" s="161">
        <v>0.1</v>
      </c>
      <c r="AU98" s="185" t="s">
        <v>54</v>
      </c>
      <c r="AV98" s="302">
        <f>'Calcul CmO, PmO, Etc.'!E28</f>
        <v>29.7</v>
      </c>
      <c r="AW98" s="185" t="s">
        <v>58</v>
      </c>
      <c r="AX98" s="648"/>
      <c r="AZ98" s="651"/>
      <c r="BA98" s="158">
        <f>+BC98*(BF98*BH98)</f>
        <v>0</v>
      </c>
      <c r="BB98" s="185" t="s">
        <v>52</v>
      </c>
      <c r="BC98" s="159">
        <f>G98</f>
        <v>196</v>
      </c>
      <c r="BD98" s="185" t="s">
        <v>54</v>
      </c>
      <c r="BE98" s="185" t="s">
        <v>55</v>
      </c>
      <c r="BF98" s="160">
        <f>J98</f>
        <v>2.1</v>
      </c>
      <c r="BG98" s="185" t="s">
        <v>54</v>
      </c>
      <c r="BH98" s="208">
        <v>0</v>
      </c>
      <c r="BI98" s="185" t="s">
        <v>58</v>
      </c>
      <c r="BJ98" s="648"/>
      <c r="BL98" s="651"/>
      <c r="BM98" s="158">
        <f>E98-BA98</f>
        <v>3394.7200000000003</v>
      </c>
      <c r="BN98" s="185" t="s">
        <v>52</v>
      </c>
      <c r="BO98" s="159">
        <f>G98</f>
        <v>196</v>
      </c>
      <c r="BP98" s="185" t="s">
        <v>54</v>
      </c>
      <c r="BQ98" s="185" t="s">
        <v>55</v>
      </c>
      <c r="BR98" s="160">
        <f>J98</f>
        <v>2.1</v>
      </c>
      <c r="BS98" s="185" t="s">
        <v>54</v>
      </c>
      <c r="BT98" s="158">
        <f>BM98/BO98/BR98</f>
        <v>8.2476190476190467</v>
      </c>
      <c r="BU98" s="185" t="s">
        <v>58</v>
      </c>
      <c r="BV98" s="648"/>
    </row>
    <row r="99" spans="1:84" ht="17" thickBot="1" x14ac:dyDescent="0.25">
      <c r="B99" s="690"/>
      <c r="C99" s="656"/>
      <c r="D99" s="652"/>
      <c r="E99" s="190"/>
      <c r="F99" s="190"/>
      <c r="G99" s="190"/>
      <c r="H99" s="190"/>
      <c r="I99" s="190"/>
      <c r="J99" s="190"/>
      <c r="K99" s="190"/>
      <c r="L99" s="190"/>
      <c r="M99" s="190"/>
      <c r="N99" s="649"/>
      <c r="P99" s="652"/>
      <c r="Q99" s="190"/>
      <c r="R99" s="190"/>
      <c r="S99" s="190"/>
      <c r="T99" s="190"/>
      <c r="U99" s="190"/>
      <c r="V99" s="331"/>
      <c r="W99" s="331"/>
      <c r="X99" s="331"/>
      <c r="Y99" s="190"/>
      <c r="Z99" s="649"/>
      <c r="AB99" s="652"/>
      <c r="AC99" s="190"/>
      <c r="AD99" s="190"/>
      <c r="AE99" s="190"/>
      <c r="AF99" s="190"/>
      <c r="AG99" s="190"/>
      <c r="AH99" s="331"/>
      <c r="AI99" s="331"/>
      <c r="AJ99" s="331"/>
      <c r="AK99" s="190"/>
      <c r="AL99" s="649"/>
      <c r="AN99" s="652"/>
      <c r="AO99" s="190"/>
      <c r="AP99" s="190"/>
      <c r="AQ99" s="190"/>
      <c r="AR99" s="190"/>
      <c r="AS99" s="190"/>
      <c r="AT99" s="190"/>
      <c r="AU99" s="190"/>
      <c r="AV99" s="423"/>
      <c r="AW99" s="190"/>
      <c r="AX99" s="649"/>
      <c r="AZ99" s="652"/>
      <c r="BA99" s="190"/>
      <c r="BB99" s="190"/>
      <c r="BC99" s="190"/>
      <c r="BD99" s="190"/>
      <c r="BE99" s="190"/>
      <c r="BF99" s="190"/>
      <c r="BG99" s="190"/>
      <c r="BH99" s="190"/>
      <c r="BI99" s="190"/>
      <c r="BJ99" s="649"/>
      <c r="BL99" s="652"/>
      <c r="BM99" s="190"/>
      <c r="BN99" s="190"/>
      <c r="BO99" s="190"/>
      <c r="BP99" s="190"/>
      <c r="BQ99" s="190"/>
      <c r="BR99" s="190"/>
      <c r="BS99" s="190"/>
      <c r="BT99" s="190"/>
      <c r="BU99" s="190"/>
      <c r="BV99" s="649"/>
    </row>
    <row r="100" spans="1:84" ht="10" customHeight="1" thickTop="1" thickBot="1" x14ac:dyDescent="0.25">
      <c r="B100" s="691"/>
      <c r="C100" s="202"/>
      <c r="D100" s="203"/>
      <c r="E100" s="204"/>
      <c r="F100" s="204"/>
      <c r="G100" s="204"/>
      <c r="H100" s="204"/>
      <c r="I100" s="204"/>
      <c r="J100" s="204"/>
      <c r="K100" s="204"/>
      <c r="L100" s="204"/>
      <c r="M100" s="204"/>
      <c r="N100" s="203"/>
      <c r="O100" s="205"/>
      <c r="P100" s="203"/>
      <c r="Q100" s="204"/>
      <c r="R100" s="204"/>
      <c r="S100" s="204"/>
      <c r="T100" s="204"/>
      <c r="U100" s="204"/>
      <c r="V100" s="332"/>
      <c r="W100" s="332"/>
      <c r="X100" s="332"/>
      <c r="Y100" s="204"/>
      <c r="Z100" s="203"/>
      <c r="AA100" s="205"/>
      <c r="AB100" s="203"/>
      <c r="AC100" s="204"/>
      <c r="AD100" s="204"/>
      <c r="AE100" s="204"/>
      <c r="AF100" s="204"/>
      <c r="AG100" s="204"/>
      <c r="AH100" s="332"/>
      <c r="AI100" s="332"/>
      <c r="AJ100" s="332"/>
      <c r="AK100" s="204"/>
      <c r="AL100" s="203"/>
      <c r="AM100" s="205"/>
      <c r="AN100" s="203"/>
      <c r="AO100" s="204"/>
      <c r="AP100" s="204"/>
      <c r="AQ100" s="204"/>
      <c r="AR100" s="204"/>
      <c r="AS100" s="204"/>
      <c r="AT100" s="204"/>
      <c r="AU100" s="204"/>
      <c r="AV100" s="424"/>
      <c r="AW100" s="204"/>
      <c r="AX100" s="203"/>
      <c r="AY100" s="205"/>
      <c r="AZ100" s="203"/>
      <c r="BA100" s="204"/>
      <c r="BB100" s="204"/>
      <c r="BC100" s="204"/>
      <c r="BD100" s="204"/>
      <c r="BE100" s="204"/>
      <c r="BF100" s="204"/>
      <c r="BG100" s="204"/>
      <c r="BH100" s="204"/>
      <c r="BI100" s="204"/>
      <c r="BJ100" s="203"/>
      <c r="BK100" s="205"/>
      <c r="BL100" s="203"/>
      <c r="BM100" s="204"/>
      <c r="BN100" s="204"/>
      <c r="BO100" s="204"/>
      <c r="BP100" s="204"/>
      <c r="BQ100" s="204"/>
      <c r="BR100" s="204"/>
      <c r="BS100" s="204"/>
      <c r="BT100" s="204"/>
      <c r="BU100" s="204"/>
      <c r="BV100" s="203"/>
      <c r="BW100" s="205"/>
      <c r="BX100" s="205"/>
      <c r="BY100" s="205"/>
      <c r="BZ100" s="205"/>
      <c r="CA100" s="205"/>
      <c r="CB100" s="205"/>
      <c r="CC100" s="205"/>
      <c r="CD100" s="205"/>
      <c r="CE100" s="205"/>
      <c r="CF100" s="205"/>
    </row>
    <row r="101" spans="1:84" ht="20" customHeight="1" thickTop="1" x14ac:dyDescent="0.2">
      <c r="A101" s="206"/>
      <c r="B101" s="691"/>
      <c r="C101" s="202"/>
      <c r="D101" s="650" t="s">
        <v>49</v>
      </c>
      <c r="E101" s="183"/>
      <c r="F101" s="183"/>
      <c r="G101" s="214" t="str">
        <f>'Achalandage journalier'!P5</f>
        <v>Pér.13</v>
      </c>
      <c r="H101" s="183"/>
      <c r="I101" s="183"/>
      <c r="J101" s="183"/>
      <c r="K101" s="183"/>
      <c r="L101" s="183"/>
      <c r="M101" s="183"/>
      <c r="N101" s="647" t="s">
        <v>50</v>
      </c>
      <c r="O101" s="205"/>
      <c r="P101" s="650" t="s">
        <v>49</v>
      </c>
      <c r="Q101" s="183"/>
      <c r="R101" s="183"/>
      <c r="S101" s="214" t="str">
        <f>G101</f>
        <v>Pér.13</v>
      </c>
      <c r="T101" s="183"/>
      <c r="U101" s="183"/>
      <c r="V101" s="327"/>
      <c r="W101" s="327"/>
      <c r="X101" s="327"/>
      <c r="Y101" s="183"/>
      <c r="Z101" s="647" t="s">
        <v>50</v>
      </c>
      <c r="AA101" s="205"/>
      <c r="AB101" s="650" t="s">
        <v>49</v>
      </c>
      <c r="AC101" s="183"/>
      <c r="AD101" s="183"/>
      <c r="AE101" s="214" t="str">
        <f>S101</f>
        <v>Pér.13</v>
      </c>
      <c r="AF101" s="183"/>
      <c r="AG101" s="183"/>
      <c r="AH101" s="327"/>
      <c r="AI101" s="327"/>
      <c r="AJ101" s="327"/>
      <c r="AK101" s="183"/>
      <c r="AL101" s="647" t="s">
        <v>50</v>
      </c>
      <c r="AM101" s="205"/>
      <c r="AN101" s="650" t="s">
        <v>49</v>
      </c>
      <c r="AO101" s="183"/>
      <c r="AP101" s="183"/>
      <c r="AQ101" s="214" t="str">
        <f>AE101</f>
        <v>Pér.13</v>
      </c>
      <c r="AR101" s="183"/>
      <c r="AS101" s="183"/>
      <c r="AT101" s="183"/>
      <c r="AU101" s="183"/>
      <c r="AV101" s="421"/>
      <c r="AW101" s="183"/>
      <c r="AX101" s="647" t="s">
        <v>50</v>
      </c>
      <c r="AY101" s="205"/>
      <c r="AZ101" s="650" t="s">
        <v>49</v>
      </c>
      <c r="BA101" s="183"/>
      <c r="BB101" s="183"/>
      <c r="BC101" s="214" t="str">
        <f>AQ101</f>
        <v>Pér.13</v>
      </c>
      <c r="BD101" s="183"/>
      <c r="BE101" s="183"/>
      <c r="BF101" s="183"/>
      <c r="BG101" s="183"/>
      <c r="BH101" s="183"/>
      <c r="BI101" s="183"/>
      <c r="BJ101" s="647" t="s">
        <v>50</v>
      </c>
      <c r="BK101" s="205"/>
      <c r="BL101" s="650" t="s">
        <v>49</v>
      </c>
      <c r="BM101" s="183"/>
      <c r="BN101" s="183"/>
      <c r="BO101" s="214" t="str">
        <f>BC101</f>
        <v>Pér.13</v>
      </c>
      <c r="BP101" s="183"/>
      <c r="BQ101" s="183"/>
      <c r="BR101" s="183"/>
      <c r="BS101" s="183"/>
      <c r="BT101" s="183"/>
      <c r="BU101" s="183"/>
      <c r="BV101" s="647" t="s">
        <v>50</v>
      </c>
      <c r="BW101" s="205"/>
      <c r="BX101" s="205"/>
      <c r="BY101" s="205"/>
      <c r="BZ101" s="205"/>
      <c r="CA101" s="205"/>
      <c r="CB101" s="205"/>
      <c r="CC101" s="205"/>
      <c r="CD101" s="205"/>
      <c r="CE101" s="205"/>
      <c r="CF101" s="205"/>
    </row>
    <row r="102" spans="1:84" ht="20" customHeight="1" x14ac:dyDescent="0.2">
      <c r="A102" s="207"/>
      <c r="B102" s="691"/>
      <c r="C102" s="202"/>
      <c r="D102" s="651"/>
      <c r="E102" s="184"/>
      <c r="F102" s="184"/>
      <c r="G102" s="184"/>
      <c r="H102" s="184"/>
      <c r="I102" s="184"/>
      <c r="J102" s="184"/>
      <c r="K102" s="184"/>
      <c r="L102" s="184"/>
      <c r="M102" s="184"/>
      <c r="N102" s="648"/>
      <c r="O102" s="205"/>
      <c r="P102" s="651"/>
      <c r="Q102" s="184"/>
      <c r="R102" s="184"/>
      <c r="S102" s="184"/>
      <c r="T102" s="184"/>
      <c r="U102" s="184"/>
      <c r="V102" s="328"/>
      <c r="W102" s="328"/>
      <c r="X102" s="328"/>
      <c r="Y102" s="184"/>
      <c r="Z102" s="648"/>
      <c r="AA102" s="205"/>
      <c r="AB102" s="651"/>
      <c r="AC102" s="184"/>
      <c r="AD102" s="184"/>
      <c r="AE102" s="184"/>
      <c r="AF102" s="184"/>
      <c r="AG102" s="184"/>
      <c r="AH102" s="328"/>
      <c r="AI102" s="328"/>
      <c r="AJ102" s="328"/>
      <c r="AK102" s="184"/>
      <c r="AL102" s="648"/>
      <c r="AM102" s="205"/>
      <c r="AN102" s="651"/>
      <c r="AO102" s="184"/>
      <c r="AP102" s="184"/>
      <c r="AQ102" s="184"/>
      <c r="AR102" s="184"/>
      <c r="AS102" s="184"/>
      <c r="AT102" s="184"/>
      <c r="AU102" s="184"/>
      <c r="AV102" s="422"/>
      <c r="AW102" s="184"/>
      <c r="AX102" s="648"/>
      <c r="AY102" s="205"/>
      <c r="AZ102" s="651"/>
      <c r="BA102" s="184"/>
      <c r="BB102" s="184"/>
      <c r="BC102" s="184"/>
      <c r="BD102" s="184"/>
      <c r="BE102" s="184"/>
      <c r="BF102" s="184"/>
      <c r="BG102" s="184"/>
      <c r="BH102" s="184"/>
      <c r="BI102" s="184"/>
      <c r="BJ102" s="648"/>
      <c r="BK102" s="205"/>
      <c r="BL102" s="651"/>
      <c r="BM102" s="184"/>
      <c r="BN102" s="184"/>
      <c r="BO102" s="184"/>
      <c r="BP102" s="184"/>
      <c r="BQ102" s="184"/>
      <c r="BR102" s="184"/>
      <c r="BS102" s="184"/>
      <c r="BT102" s="184"/>
      <c r="BU102" s="184"/>
      <c r="BV102" s="648"/>
      <c r="BW102" s="205"/>
      <c r="BX102" s="205"/>
      <c r="BY102" s="205"/>
      <c r="BZ102" s="205"/>
      <c r="CA102" s="205"/>
      <c r="CB102" s="205"/>
      <c r="CC102" s="205"/>
      <c r="CD102" s="205"/>
      <c r="CE102" s="205"/>
      <c r="CF102" s="205"/>
    </row>
    <row r="103" spans="1:84" ht="20" customHeight="1" x14ac:dyDescent="0.25">
      <c r="A103" s="207"/>
      <c r="B103" s="691"/>
      <c r="C103" s="202"/>
      <c r="D103" s="651"/>
      <c r="E103" s="185" t="str">
        <f>E95</f>
        <v>Demande mensuelle</v>
      </c>
      <c r="F103" s="185" t="s">
        <v>52</v>
      </c>
      <c r="G103" s="185" t="str">
        <f>G95</f>
        <v>Achalandage mensuel</v>
      </c>
      <c r="H103" s="185" t="s">
        <v>54</v>
      </c>
      <c r="I103" s="185" t="s">
        <v>55</v>
      </c>
      <c r="J103" s="185" t="str">
        <f>J95</f>
        <v>Um/A</v>
      </c>
      <c r="K103" s="185" t="s">
        <v>54</v>
      </c>
      <c r="L103" s="185" t="str">
        <f>L95</f>
        <v>PmO</v>
      </c>
      <c r="M103" s="185" t="s">
        <v>58</v>
      </c>
      <c r="N103" s="648"/>
      <c r="O103" s="205"/>
      <c r="P103" s="651"/>
      <c r="Q103" s="185" t="str">
        <f>Q95</f>
        <v>Demande mensuelle</v>
      </c>
      <c r="R103" s="185" t="s">
        <v>52</v>
      </c>
      <c r="S103" s="185" t="str">
        <f>S95</f>
        <v>Achalandage mensuel</v>
      </c>
      <c r="T103" s="185" t="s">
        <v>54</v>
      </c>
      <c r="U103" s="185" t="s">
        <v>55</v>
      </c>
      <c r="V103" s="315" t="str">
        <f>V95</f>
        <v>Um/A</v>
      </c>
      <c r="W103" s="315" t="s">
        <v>54</v>
      </c>
      <c r="X103" s="315" t="str">
        <f>X95</f>
        <v>PmO</v>
      </c>
      <c r="Y103" s="185" t="s">
        <v>58</v>
      </c>
      <c r="Z103" s="648"/>
      <c r="AA103" s="205"/>
      <c r="AB103" s="651"/>
      <c r="AC103" s="185" t="str">
        <f>AC95</f>
        <v>Demande mensuelle</v>
      </c>
      <c r="AD103" s="185" t="s">
        <v>52</v>
      </c>
      <c r="AE103" s="185" t="str">
        <f>AE95</f>
        <v>Achalandage mensuel</v>
      </c>
      <c r="AF103" s="185" t="s">
        <v>54</v>
      </c>
      <c r="AG103" s="185" t="s">
        <v>55</v>
      </c>
      <c r="AH103" s="315" t="str">
        <f>AH95</f>
        <v>Um/A</v>
      </c>
      <c r="AI103" s="315" t="s">
        <v>54</v>
      </c>
      <c r="AJ103" s="315" t="str">
        <f>AJ95</f>
        <v>PmO</v>
      </c>
      <c r="AK103" s="185" t="s">
        <v>58</v>
      </c>
      <c r="AL103" s="648"/>
      <c r="AM103" s="205"/>
      <c r="AN103" s="651"/>
      <c r="AO103" s="185" t="str">
        <f>AO95</f>
        <v>Demande mensuelle</v>
      </c>
      <c r="AP103" s="185" t="s">
        <v>52</v>
      </c>
      <c r="AQ103" s="185" t="str">
        <f>AQ95</f>
        <v>Achalandage mensuel</v>
      </c>
      <c r="AR103" s="185" t="s">
        <v>54</v>
      </c>
      <c r="AS103" s="185" t="s">
        <v>55</v>
      </c>
      <c r="AT103" s="185" t="str">
        <f>AT95</f>
        <v>Um/A</v>
      </c>
      <c r="AU103" s="185" t="s">
        <v>54</v>
      </c>
      <c r="AV103" s="315" t="str">
        <f>AV95</f>
        <v>PmO</v>
      </c>
      <c r="AW103" s="185" t="s">
        <v>58</v>
      </c>
      <c r="AX103" s="648"/>
      <c r="AY103" s="205"/>
      <c r="AZ103" s="651"/>
      <c r="BA103" s="185" t="str">
        <f>BA95</f>
        <v>Coût mensuel</v>
      </c>
      <c r="BB103" s="185" t="s">
        <v>52</v>
      </c>
      <c r="BC103" s="185" t="str">
        <f>BC95</f>
        <v>Achalandage mensuel</v>
      </c>
      <c r="BD103" s="185" t="s">
        <v>54</v>
      </c>
      <c r="BE103" s="185" t="s">
        <v>55</v>
      </c>
      <c r="BF103" s="185" t="str">
        <f>BF95</f>
        <v>Um/A</v>
      </c>
      <c r="BG103" s="185" t="s">
        <v>54</v>
      </c>
      <c r="BH103" s="185" t="str">
        <f>BH95</f>
        <v>CmO</v>
      </c>
      <c r="BI103" s="185" t="s">
        <v>58</v>
      </c>
      <c r="BJ103" s="648"/>
      <c r="BK103" s="205"/>
      <c r="BL103" s="651"/>
      <c r="BM103" s="185" t="str">
        <f>BM95</f>
        <v>Bénéfice mensuel</v>
      </c>
      <c r="BN103" s="185" t="s">
        <v>52</v>
      </c>
      <c r="BO103" s="185" t="str">
        <f>BO95</f>
        <v>Achalandage mensuel</v>
      </c>
      <c r="BP103" s="185" t="s">
        <v>54</v>
      </c>
      <c r="BQ103" s="185" t="s">
        <v>55</v>
      </c>
      <c r="BR103" s="185" t="str">
        <f>BR95</f>
        <v>Um/A</v>
      </c>
      <c r="BS103" s="185" t="s">
        <v>54</v>
      </c>
      <c r="BT103" s="185" t="str">
        <f>BT95</f>
        <v>BmO</v>
      </c>
      <c r="BU103" s="185" t="s">
        <v>58</v>
      </c>
      <c r="BV103" s="648"/>
      <c r="BW103" s="205"/>
      <c r="BX103" s="205"/>
      <c r="BY103" s="205"/>
      <c r="BZ103" s="205"/>
      <c r="CA103" s="205"/>
      <c r="CB103" s="205"/>
      <c r="CC103" s="205"/>
      <c r="CD103" s="205"/>
      <c r="CE103" s="205"/>
      <c r="CF103" s="205"/>
    </row>
    <row r="104" spans="1:84" ht="20" customHeight="1" x14ac:dyDescent="0.25">
      <c r="A104" s="207"/>
      <c r="B104" s="691"/>
      <c r="C104" s="202"/>
      <c r="D104" s="651"/>
      <c r="E104" s="186" t="s">
        <v>1</v>
      </c>
      <c r="F104" s="187"/>
      <c r="G104" s="186"/>
      <c r="H104" s="187"/>
      <c r="I104" s="187"/>
      <c r="J104" s="187"/>
      <c r="K104" s="187"/>
      <c r="L104" s="187"/>
      <c r="M104" s="187"/>
      <c r="N104" s="648"/>
      <c r="O104" s="205"/>
      <c r="P104" s="651"/>
      <c r="Q104" s="186" t="s">
        <v>1</v>
      </c>
      <c r="R104" s="187"/>
      <c r="S104" s="186"/>
      <c r="T104" s="187"/>
      <c r="U104" s="187"/>
      <c r="V104" s="329"/>
      <c r="W104" s="329"/>
      <c r="X104" s="329"/>
      <c r="Y104" s="187"/>
      <c r="Z104" s="648"/>
      <c r="AA104" s="205"/>
      <c r="AB104" s="651"/>
      <c r="AC104" s="186" t="s">
        <v>1</v>
      </c>
      <c r="AD104" s="187"/>
      <c r="AE104" s="186"/>
      <c r="AF104" s="187"/>
      <c r="AG104" s="187"/>
      <c r="AH104" s="329"/>
      <c r="AI104" s="329"/>
      <c r="AJ104" s="329"/>
      <c r="AK104" s="187"/>
      <c r="AL104" s="648"/>
      <c r="AM104" s="205"/>
      <c r="AN104" s="651"/>
      <c r="AO104" s="186" t="s">
        <v>1</v>
      </c>
      <c r="AP104" s="187"/>
      <c r="AQ104" s="186"/>
      <c r="AR104" s="187"/>
      <c r="AS104" s="187"/>
      <c r="AT104" s="187"/>
      <c r="AU104" s="187"/>
      <c r="AV104" s="329"/>
      <c r="AW104" s="187"/>
      <c r="AX104" s="648"/>
      <c r="AY104" s="205"/>
      <c r="AZ104" s="651"/>
      <c r="BA104" s="186" t="s">
        <v>1</v>
      </c>
      <c r="BB104" s="187"/>
      <c r="BC104" s="186"/>
      <c r="BD104" s="187"/>
      <c r="BE104" s="187"/>
      <c r="BF104" s="187"/>
      <c r="BG104" s="187"/>
      <c r="BH104" s="187"/>
      <c r="BI104" s="187"/>
      <c r="BJ104" s="648"/>
      <c r="BK104" s="205"/>
      <c r="BL104" s="651"/>
      <c r="BM104" s="186" t="s">
        <v>1</v>
      </c>
      <c r="BN104" s="187"/>
      <c r="BO104" s="186"/>
      <c r="BP104" s="187"/>
      <c r="BQ104" s="187"/>
      <c r="BR104" s="187"/>
      <c r="BS104" s="187"/>
      <c r="BT104" s="187"/>
      <c r="BU104" s="187"/>
      <c r="BV104" s="648"/>
      <c r="BW104" s="205"/>
      <c r="BX104" s="205"/>
      <c r="BY104" s="205"/>
      <c r="BZ104" s="205"/>
      <c r="CA104" s="205"/>
      <c r="CB104" s="205"/>
      <c r="CC104" s="205"/>
      <c r="CD104" s="205"/>
      <c r="CE104" s="205"/>
      <c r="CF104" s="205"/>
    </row>
    <row r="105" spans="1:84" ht="20" customHeight="1" x14ac:dyDescent="0.3">
      <c r="A105" s="207"/>
      <c r="B105" s="691"/>
      <c r="C105" s="202"/>
      <c r="D105" s="651"/>
      <c r="E105" s="188" t="str">
        <f>E97</f>
        <v>D</v>
      </c>
      <c r="F105" s="189"/>
      <c r="G105" s="188" t="str">
        <f>G97</f>
        <v>A</v>
      </c>
      <c r="H105" s="189"/>
      <c r="I105" s="189"/>
      <c r="J105" s="188" t="str">
        <f>+J103</f>
        <v>Um/A</v>
      </c>
      <c r="K105" s="189"/>
      <c r="L105" s="188" t="str">
        <f>+L103</f>
        <v>PmO</v>
      </c>
      <c r="M105" s="189"/>
      <c r="N105" s="648"/>
      <c r="O105" s="205"/>
      <c r="P105" s="651"/>
      <c r="Q105" s="188" t="str">
        <f>Q97</f>
        <v>D</v>
      </c>
      <c r="R105" s="189"/>
      <c r="S105" s="188" t="str">
        <f>S97</f>
        <v>A</v>
      </c>
      <c r="T105" s="189"/>
      <c r="U105" s="189"/>
      <c r="V105" s="316" t="str">
        <f>+V103</f>
        <v>Um/A</v>
      </c>
      <c r="W105" s="330"/>
      <c r="X105" s="316" t="str">
        <f>+X103</f>
        <v>PmO</v>
      </c>
      <c r="Y105" s="189"/>
      <c r="Z105" s="648"/>
      <c r="AA105" s="205"/>
      <c r="AB105" s="651"/>
      <c r="AC105" s="188" t="str">
        <f>AC97</f>
        <v>D</v>
      </c>
      <c r="AD105" s="189"/>
      <c r="AE105" s="188" t="str">
        <f>AE97</f>
        <v>A</v>
      </c>
      <c r="AF105" s="189"/>
      <c r="AG105" s="189"/>
      <c r="AH105" s="316" t="str">
        <f>+AH103</f>
        <v>Um/A</v>
      </c>
      <c r="AI105" s="330"/>
      <c r="AJ105" s="316" t="str">
        <f>+AJ103</f>
        <v>PmO</v>
      </c>
      <c r="AK105" s="189"/>
      <c r="AL105" s="648"/>
      <c r="AM105" s="205"/>
      <c r="AN105" s="651"/>
      <c r="AO105" s="188" t="str">
        <f>AO97</f>
        <v>D</v>
      </c>
      <c r="AP105" s="189"/>
      <c r="AQ105" s="188" t="str">
        <f>AQ97</f>
        <v>A</v>
      </c>
      <c r="AR105" s="189"/>
      <c r="AS105" s="189"/>
      <c r="AT105" s="188" t="str">
        <f>+AT103</f>
        <v>Um/A</v>
      </c>
      <c r="AU105" s="189"/>
      <c r="AV105" s="316" t="str">
        <f>+AV103</f>
        <v>PmO</v>
      </c>
      <c r="AW105" s="189"/>
      <c r="AX105" s="648"/>
      <c r="AY105" s="205"/>
      <c r="AZ105" s="651"/>
      <c r="BA105" s="188" t="str">
        <f>BA97</f>
        <v xml:space="preserve">C </v>
      </c>
      <c r="BB105" s="189"/>
      <c r="BC105" s="188" t="str">
        <f>BC97</f>
        <v>A</v>
      </c>
      <c r="BD105" s="189"/>
      <c r="BE105" s="189"/>
      <c r="BF105" s="188" t="str">
        <f>+BF103</f>
        <v>Um/A</v>
      </c>
      <c r="BG105" s="189"/>
      <c r="BH105" s="188" t="str">
        <f>+BH103</f>
        <v>CmO</v>
      </c>
      <c r="BI105" s="189"/>
      <c r="BJ105" s="648"/>
      <c r="BK105" s="205"/>
      <c r="BL105" s="651"/>
      <c r="BM105" s="188" t="str">
        <f>BM97</f>
        <v xml:space="preserve">B </v>
      </c>
      <c r="BN105" s="189"/>
      <c r="BO105" s="188" t="str">
        <f>BO97</f>
        <v>A</v>
      </c>
      <c r="BP105" s="189"/>
      <c r="BQ105" s="189"/>
      <c r="BR105" s="188" t="str">
        <f>+BR103</f>
        <v>Um/A</v>
      </c>
      <c r="BS105" s="189"/>
      <c r="BT105" s="188" t="str">
        <f>+BT103</f>
        <v>BmO</v>
      </c>
      <c r="BU105" s="189"/>
      <c r="BV105" s="648"/>
      <c r="BW105" s="205"/>
      <c r="BX105" s="205"/>
      <c r="BY105" s="205"/>
      <c r="BZ105" s="205"/>
      <c r="CA105" s="205"/>
      <c r="CB105" s="205"/>
      <c r="CC105" s="205"/>
      <c r="CD105" s="205"/>
      <c r="CE105" s="205"/>
      <c r="CF105" s="205"/>
    </row>
    <row r="106" spans="1:84" ht="20" customHeight="1" x14ac:dyDescent="0.25">
      <c r="A106" s="207"/>
      <c r="B106" s="691"/>
      <c r="C106" s="202"/>
      <c r="D106" s="651"/>
      <c r="E106" s="158">
        <f>+Q106+AC106+AO106</f>
        <v>3394.7200000000003</v>
      </c>
      <c r="F106" s="185" t="s">
        <v>52</v>
      </c>
      <c r="G106" s="159">
        <f>'% Occupation'!P19</f>
        <v>196</v>
      </c>
      <c r="H106" s="185" t="s">
        <v>54</v>
      </c>
      <c r="I106" s="185" t="s">
        <v>55</v>
      </c>
      <c r="J106" s="160">
        <f>+V106+AH106+AT106</f>
        <v>2.1</v>
      </c>
      <c r="K106" s="185" t="s">
        <v>54</v>
      </c>
      <c r="L106" s="158">
        <f>E106/G106/J106</f>
        <v>8.2476190476190467</v>
      </c>
      <c r="M106" s="185" t="s">
        <v>58</v>
      </c>
      <c r="N106" s="648"/>
      <c r="O106" s="205"/>
      <c r="P106" s="651"/>
      <c r="Q106" s="158">
        <f>+S106*(V106*X106)</f>
        <v>944.06666666666683</v>
      </c>
      <c r="R106" s="185" t="s">
        <v>52</v>
      </c>
      <c r="S106" s="159">
        <f>G106</f>
        <v>196</v>
      </c>
      <c r="T106" s="185" t="s">
        <v>54</v>
      </c>
      <c r="U106" s="185" t="s">
        <v>55</v>
      </c>
      <c r="V106" s="301">
        <f>'Calcul CmO et PmO'!L537</f>
        <v>1</v>
      </c>
      <c r="W106" s="315" t="s">
        <v>54</v>
      </c>
      <c r="X106" s="302">
        <f>'Calcul CmO et PmO'!F537</f>
        <v>4.8166666666666673</v>
      </c>
      <c r="Y106" s="185" t="s">
        <v>58</v>
      </c>
      <c r="Z106" s="648"/>
      <c r="AA106" s="205"/>
      <c r="AB106" s="651"/>
      <c r="AC106" s="158">
        <f>+AE106*(AH106*AJ106)</f>
        <v>1868.5333333333333</v>
      </c>
      <c r="AD106" s="185" t="s">
        <v>52</v>
      </c>
      <c r="AE106" s="159">
        <f>S106</f>
        <v>196</v>
      </c>
      <c r="AF106" s="185" t="s">
        <v>54</v>
      </c>
      <c r="AG106" s="185" t="s">
        <v>55</v>
      </c>
      <c r="AH106" s="301">
        <f>'Calcul CmO et PmO'!L552</f>
        <v>1</v>
      </c>
      <c r="AI106" s="315" t="s">
        <v>54</v>
      </c>
      <c r="AJ106" s="302">
        <f>'Calcul CmO et PmO'!F552</f>
        <v>9.5333333333333332</v>
      </c>
      <c r="AK106" s="185" t="s">
        <v>58</v>
      </c>
      <c r="AL106" s="648"/>
      <c r="AM106" s="205"/>
      <c r="AN106" s="651"/>
      <c r="AO106" s="158">
        <f>+AQ106*(AT106*AV106)</f>
        <v>582.12</v>
      </c>
      <c r="AP106" s="185" t="s">
        <v>52</v>
      </c>
      <c r="AQ106" s="159">
        <f>AE106</f>
        <v>196</v>
      </c>
      <c r="AR106" s="185" t="s">
        <v>54</v>
      </c>
      <c r="AS106" s="185" t="s">
        <v>55</v>
      </c>
      <c r="AT106" s="161">
        <v>0.1</v>
      </c>
      <c r="AU106" s="185" t="s">
        <v>54</v>
      </c>
      <c r="AV106" s="302">
        <f>'Calcul CmO, PmO, Etc.'!E28</f>
        <v>29.7</v>
      </c>
      <c r="AW106" s="185" t="s">
        <v>58</v>
      </c>
      <c r="AX106" s="648"/>
      <c r="AY106" s="205"/>
      <c r="AZ106" s="651"/>
      <c r="BA106" s="158">
        <f>+BC106*(BF106*BH106)</f>
        <v>0</v>
      </c>
      <c r="BB106" s="185" t="s">
        <v>52</v>
      </c>
      <c r="BC106" s="159">
        <f>G106</f>
        <v>196</v>
      </c>
      <c r="BD106" s="185" t="s">
        <v>54</v>
      </c>
      <c r="BE106" s="185" t="s">
        <v>55</v>
      </c>
      <c r="BF106" s="160">
        <f>J106</f>
        <v>2.1</v>
      </c>
      <c r="BG106" s="185" t="s">
        <v>54</v>
      </c>
      <c r="BH106" s="208">
        <v>0</v>
      </c>
      <c r="BI106" s="185" t="s">
        <v>58</v>
      </c>
      <c r="BJ106" s="648"/>
      <c r="BK106" s="205"/>
      <c r="BL106" s="651"/>
      <c r="BM106" s="158">
        <f>E106-BA106</f>
        <v>3394.7200000000003</v>
      </c>
      <c r="BN106" s="185" t="s">
        <v>52</v>
      </c>
      <c r="BO106" s="159">
        <f>G106</f>
        <v>196</v>
      </c>
      <c r="BP106" s="185" t="s">
        <v>54</v>
      </c>
      <c r="BQ106" s="185" t="s">
        <v>55</v>
      </c>
      <c r="BR106" s="160">
        <f>J106</f>
        <v>2.1</v>
      </c>
      <c r="BS106" s="185" t="s">
        <v>54</v>
      </c>
      <c r="BT106" s="158">
        <f>BM106/BO106/BR106</f>
        <v>8.2476190476190467</v>
      </c>
      <c r="BU106" s="185" t="s">
        <v>58</v>
      </c>
      <c r="BV106" s="648"/>
      <c r="BW106" s="205"/>
      <c r="BX106" s="205"/>
      <c r="BY106" s="205"/>
      <c r="BZ106" s="205"/>
      <c r="CA106" s="205"/>
      <c r="CB106" s="205"/>
      <c r="CC106" s="205"/>
      <c r="CD106" s="205"/>
      <c r="CE106" s="205"/>
      <c r="CF106" s="205"/>
    </row>
    <row r="107" spans="1:84" ht="20" customHeight="1" thickBot="1" x14ac:dyDescent="0.25">
      <c r="A107" s="207"/>
      <c r="B107" s="691"/>
      <c r="C107" s="202"/>
      <c r="D107" s="652"/>
      <c r="E107" s="190"/>
      <c r="F107" s="190"/>
      <c r="G107" s="190"/>
      <c r="H107" s="190"/>
      <c r="I107" s="190"/>
      <c r="J107" s="190"/>
      <c r="K107" s="190"/>
      <c r="L107" s="190"/>
      <c r="M107" s="190"/>
      <c r="N107" s="649"/>
      <c r="O107" s="205"/>
      <c r="P107" s="652"/>
      <c r="Q107" s="190"/>
      <c r="R107" s="190"/>
      <c r="S107" s="190"/>
      <c r="T107" s="190"/>
      <c r="U107" s="190"/>
      <c r="V107" s="190"/>
      <c r="W107" s="190"/>
      <c r="X107" s="190"/>
      <c r="Y107" s="190"/>
      <c r="Z107" s="649"/>
      <c r="AA107" s="205"/>
      <c r="AB107" s="652"/>
      <c r="AC107" s="190"/>
      <c r="AD107" s="190"/>
      <c r="AE107" s="190"/>
      <c r="AF107" s="190"/>
      <c r="AG107" s="190"/>
      <c r="AH107" s="190"/>
      <c r="AI107" s="190"/>
      <c r="AJ107" s="190"/>
      <c r="AK107" s="190"/>
      <c r="AL107" s="649"/>
      <c r="AM107" s="205"/>
      <c r="AN107" s="652"/>
      <c r="AO107" s="190"/>
      <c r="AP107" s="190"/>
      <c r="AQ107" s="190"/>
      <c r="AR107" s="190"/>
      <c r="AS107" s="190"/>
      <c r="AT107" s="190"/>
      <c r="AU107" s="190"/>
      <c r="AV107" s="423"/>
      <c r="AW107" s="190"/>
      <c r="AX107" s="649"/>
      <c r="AY107" s="205"/>
      <c r="AZ107" s="652"/>
      <c r="BA107" s="190"/>
      <c r="BB107" s="190"/>
      <c r="BC107" s="190"/>
      <c r="BD107" s="190"/>
      <c r="BE107" s="190"/>
      <c r="BF107" s="190"/>
      <c r="BG107" s="190"/>
      <c r="BH107" s="190"/>
      <c r="BI107" s="190"/>
      <c r="BJ107" s="649"/>
      <c r="BK107" s="205"/>
      <c r="BL107" s="652"/>
      <c r="BM107" s="190"/>
      <c r="BN107" s="190"/>
      <c r="BO107" s="190"/>
      <c r="BP107" s="190"/>
      <c r="BQ107" s="190"/>
      <c r="BR107" s="190"/>
      <c r="BS107" s="190"/>
      <c r="BT107" s="190"/>
      <c r="BU107" s="190"/>
      <c r="BV107" s="649"/>
      <c r="BW107" s="205"/>
      <c r="BX107" s="205"/>
      <c r="BY107" s="205"/>
      <c r="BZ107" s="205"/>
      <c r="CA107" s="205"/>
      <c r="CB107" s="205"/>
      <c r="CC107" s="205"/>
      <c r="CD107" s="205"/>
      <c r="CE107" s="205"/>
      <c r="CF107" s="205"/>
    </row>
    <row r="108" spans="1:84" ht="10" customHeight="1" thickTop="1" thickBot="1" x14ac:dyDescent="0.2">
      <c r="C108" s="150"/>
    </row>
    <row r="109" spans="1:84" ht="17" thickTop="1" x14ac:dyDescent="0.2">
      <c r="B109" s="653" t="s">
        <v>67</v>
      </c>
      <c r="C109" s="631" t="s">
        <v>67</v>
      </c>
      <c r="D109" s="632" t="s">
        <v>49</v>
      </c>
      <c r="E109" s="191"/>
      <c r="F109" s="191"/>
      <c r="G109" s="216" t="s">
        <v>37</v>
      </c>
      <c r="H109" s="191"/>
      <c r="I109" s="191"/>
      <c r="J109" s="191"/>
      <c r="K109" s="191"/>
      <c r="L109" s="191"/>
      <c r="M109" s="191"/>
      <c r="N109" s="635" t="s">
        <v>50</v>
      </c>
      <c r="P109" s="632" t="s">
        <v>49</v>
      </c>
      <c r="Q109" s="191"/>
      <c r="R109" s="191"/>
      <c r="S109" s="216" t="s">
        <v>37</v>
      </c>
      <c r="T109" s="191"/>
      <c r="U109" s="191"/>
      <c r="V109" s="191"/>
      <c r="W109" s="191"/>
      <c r="X109" s="191"/>
      <c r="Y109" s="191"/>
      <c r="Z109" s="635" t="s">
        <v>50</v>
      </c>
      <c r="AB109" s="632" t="s">
        <v>49</v>
      </c>
      <c r="AC109" s="191"/>
      <c r="AD109" s="191"/>
      <c r="AE109" s="216" t="s">
        <v>37</v>
      </c>
      <c r="AF109" s="191"/>
      <c r="AG109" s="191"/>
      <c r="AH109" s="191"/>
      <c r="AI109" s="191"/>
      <c r="AJ109" s="191"/>
      <c r="AK109" s="191"/>
      <c r="AL109" s="635" t="s">
        <v>50</v>
      </c>
      <c r="AN109" s="632" t="s">
        <v>49</v>
      </c>
      <c r="AO109" s="191"/>
      <c r="AP109" s="191"/>
      <c r="AQ109" s="216" t="s">
        <v>37</v>
      </c>
      <c r="AR109" s="191"/>
      <c r="AS109" s="191"/>
      <c r="AT109" s="191"/>
      <c r="AU109" s="191"/>
      <c r="AV109" s="191"/>
      <c r="AW109" s="191"/>
      <c r="AX109" s="635" t="s">
        <v>50</v>
      </c>
      <c r="AZ109" s="632" t="s">
        <v>49</v>
      </c>
      <c r="BA109" s="191"/>
      <c r="BB109" s="191"/>
      <c r="BC109" s="216" t="s">
        <v>37</v>
      </c>
      <c r="BD109" s="191"/>
      <c r="BE109" s="191"/>
      <c r="BF109" s="191"/>
      <c r="BG109" s="191"/>
      <c r="BH109" s="191"/>
      <c r="BI109" s="191"/>
      <c r="BJ109" s="635" t="s">
        <v>50</v>
      </c>
      <c r="BL109" s="632" t="s">
        <v>49</v>
      </c>
      <c r="BM109" s="191"/>
      <c r="BN109" s="191"/>
      <c r="BO109" s="216" t="s">
        <v>37</v>
      </c>
      <c r="BP109" s="191"/>
      <c r="BQ109" s="191"/>
      <c r="BR109" s="191"/>
      <c r="BS109" s="191"/>
      <c r="BT109" s="191"/>
      <c r="BU109" s="191"/>
      <c r="BV109" s="635" t="s">
        <v>50</v>
      </c>
    </row>
    <row r="110" spans="1:84" ht="16" x14ac:dyDescent="0.2">
      <c r="B110" s="654"/>
      <c r="C110" s="631"/>
      <c r="D110" s="633"/>
      <c r="E110" s="192"/>
      <c r="F110" s="192"/>
      <c r="G110" s="192"/>
      <c r="H110" s="192"/>
      <c r="I110" s="192"/>
      <c r="J110" s="192"/>
      <c r="K110" s="192"/>
      <c r="L110" s="192"/>
      <c r="M110" s="192"/>
      <c r="N110" s="636"/>
      <c r="P110" s="633"/>
      <c r="Q110" s="192"/>
      <c r="R110" s="192"/>
      <c r="S110" s="192"/>
      <c r="T110" s="192"/>
      <c r="U110" s="192"/>
      <c r="V110" s="192"/>
      <c r="W110" s="192"/>
      <c r="X110" s="192"/>
      <c r="Y110" s="192"/>
      <c r="Z110" s="636"/>
      <c r="AB110" s="633"/>
      <c r="AC110" s="192"/>
      <c r="AD110" s="192"/>
      <c r="AE110" s="192"/>
      <c r="AF110" s="192"/>
      <c r="AG110" s="192"/>
      <c r="AH110" s="192"/>
      <c r="AI110" s="192"/>
      <c r="AJ110" s="192"/>
      <c r="AK110" s="192"/>
      <c r="AL110" s="636"/>
      <c r="AN110" s="633"/>
      <c r="AO110" s="192"/>
      <c r="AP110" s="192"/>
      <c r="AQ110" s="192"/>
      <c r="AR110" s="192"/>
      <c r="AS110" s="192"/>
      <c r="AT110" s="192"/>
      <c r="AU110" s="192"/>
      <c r="AV110" s="192"/>
      <c r="AW110" s="192"/>
      <c r="AX110" s="636"/>
      <c r="AZ110" s="633"/>
      <c r="BA110" s="192"/>
      <c r="BB110" s="192"/>
      <c r="BC110" s="192"/>
      <c r="BD110" s="192"/>
      <c r="BE110" s="192"/>
      <c r="BF110" s="192"/>
      <c r="BG110" s="192"/>
      <c r="BH110" s="192"/>
      <c r="BI110" s="192"/>
      <c r="BJ110" s="636"/>
      <c r="BL110" s="633"/>
      <c r="BM110" s="192"/>
      <c r="BN110" s="192"/>
      <c r="BO110" s="192"/>
      <c r="BP110" s="192"/>
      <c r="BQ110" s="192"/>
      <c r="BR110" s="192"/>
      <c r="BS110" s="192"/>
      <c r="BT110" s="192"/>
      <c r="BU110" s="192"/>
      <c r="BV110" s="636"/>
    </row>
    <row r="111" spans="1:84" ht="21" x14ac:dyDescent="0.25">
      <c r="B111" s="654"/>
      <c r="C111" s="631"/>
      <c r="D111" s="633"/>
      <c r="E111" s="193" t="str">
        <f>E95</f>
        <v>Demande mensuelle</v>
      </c>
      <c r="F111" s="193" t="s">
        <v>52</v>
      </c>
      <c r="G111" s="193" t="s">
        <v>68</v>
      </c>
      <c r="H111" s="193" t="s">
        <v>54</v>
      </c>
      <c r="I111" s="193" t="s">
        <v>55</v>
      </c>
      <c r="J111" s="193" t="str">
        <f>J95</f>
        <v>Um/A</v>
      </c>
      <c r="K111" s="193" t="s">
        <v>54</v>
      </c>
      <c r="L111" s="193" t="str">
        <f>L95</f>
        <v>PmO</v>
      </c>
      <c r="M111" s="193" t="s">
        <v>58</v>
      </c>
      <c r="N111" s="636"/>
      <c r="P111" s="633"/>
      <c r="Q111" s="193" t="str">
        <f>E111</f>
        <v>Demande mensuelle</v>
      </c>
      <c r="R111" s="193" t="s">
        <v>52</v>
      </c>
      <c r="S111" s="193" t="str">
        <f>G111</f>
        <v>Achalandage annuelle</v>
      </c>
      <c r="T111" s="193" t="s">
        <v>54</v>
      </c>
      <c r="U111" s="193" t="s">
        <v>55</v>
      </c>
      <c r="V111" s="193" t="str">
        <f>J111</f>
        <v>Um/A</v>
      </c>
      <c r="W111" s="193" t="s">
        <v>54</v>
      </c>
      <c r="X111" s="193" t="str">
        <f>L111</f>
        <v>PmO</v>
      </c>
      <c r="Y111" s="193" t="s">
        <v>58</v>
      </c>
      <c r="Z111" s="636"/>
      <c r="AB111" s="633"/>
      <c r="AC111" s="193" t="str">
        <f>AC95</f>
        <v>Demande mensuelle</v>
      </c>
      <c r="AD111" s="193" t="s">
        <v>52</v>
      </c>
      <c r="AE111" s="193" t="str">
        <f>S111</f>
        <v>Achalandage annuelle</v>
      </c>
      <c r="AF111" s="193" t="s">
        <v>54</v>
      </c>
      <c r="AG111" s="193" t="s">
        <v>55</v>
      </c>
      <c r="AH111" s="193" t="str">
        <f>V111</f>
        <v>Um/A</v>
      </c>
      <c r="AI111" s="193" t="s">
        <v>54</v>
      </c>
      <c r="AJ111" s="193" t="str">
        <f>X111</f>
        <v>PmO</v>
      </c>
      <c r="AK111" s="193" t="s">
        <v>58</v>
      </c>
      <c r="AL111" s="636"/>
      <c r="AN111" s="633"/>
      <c r="AO111" s="193" t="str">
        <f>AC111</f>
        <v>Demande mensuelle</v>
      </c>
      <c r="AP111" s="193" t="s">
        <v>52</v>
      </c>
      <c r="AQ111" s="193" t="str">
        <f>AE111</f>
        <v>Achalandage annuelle</v>
      </c>
      <c r="AR111" s="193" t="s">
        <v>54</v>
      </c>
      <c r="AS111" s="193" t="s">
        <v>55</v>
      </c>
      <c r="AT111" s="193" t="str">
        <f>AH111</f>
        <v>Um/A</v>
      </c>
      <c r="AU111" s="193" t="s">
        <v>54</v>
      </c>
      <c r="AV111" s="193" t="str">
        <f>AJ111</f>
        <v>PmO</v>
      </c>
      <c r="AW111" s="193" t="s">
        <v>58</v>
      </c>
      <c r="AX111" s="636"/>
      <c r="AZ111" s="633"/>
      <c r="BA111" s="193" t="s">
        <v>69</v>
      </c>
      <c r="BB111" s="193" t="s">
        <v>52</v>
      </c>
      <c r="BC111" s="193" t="s">
        <v>68</v>
      </c>
      <c r="BD111" s="193" t="s">
        <v>54</v>
      </c>
      <c r="BE111" s="193" t="s">
        <v>55</v>
      </c>
      <c r="BF111" s="193" t="str">
        <f>AT111</f>
        <v>Um/A</v>
      </c>
      <c r="BG111" s="193" t="s">
        <v>54</v>
      </c>
      <c r="BH111" s="193" t="s">
        <v>60</v>
      </c>
      <c r="BI111" s="193" t="s">
        <v>58</v>
      </c>
      <c r="BJ111" s="636"/>
      <c r="BL111" s="633"/>
      <c r="BM111" s="193" t="s">
        <v>70</v>
      </c>
      <c r="BN111" s="193" t="s">
        <v>52</v>
      </c>
      <c r="BO111" s="193" t="str">
        <f>BC111</f>
        <v>Achalandage annuelle</v>
      </c>
      <c r="BP111" s="193" t="s">
        <v>54</v>
      </c>
      <c r="BQ111" s="193" t="s">
        <v>55</v>
      </c>
      <c r="BR111" s="193" t="str">
        <f>BF111</f>
        <v>Um/A</v>
      </c>
      <c r="BS111" s="193" t="s">
        <v>54</v>
      </c>
      <c r="BT111" s="193" t="s">
        <v>62</v>
      </c>
      <c r="BU111" s="193" t="s">
        <v>58</v>
      </c>
      <c r="BV111" s="636"/>
    </row>
    <row r="112" spans="1:84" ht="19" x14ac:dyDescent="0.25">
      <c r="B112" s="654"/>
      <c r="C112" s="631"/>
      <c r="D112" s="633"/>
      <c r="E112" s="194" t="s">
        <v>1</v>
      </c>
      <c r="F112" s="195"/>
      <c r="G112" s="194"/>
      <c r="H112" s="195"/>
      <c r="I112" s="195"/>
      <c r="J112" s="195"/>
      <c r="K112" s="195"/>
      <c r="L112" s="195"/>
      <c r="M112" s="195"/>
      <c r="N112" s="636"/>
      <c r="P112" s="633"/>
      <c r="Q112" s="194" t="s">
        <v>1</v>
      </c>
      <c r="R112" s="195"/>
      <c r="S112" s="194"/>
      <c r="T112" s="195"/>
      <c r="U112" s="195"/>
      <c r="V112" s="195"/>
      <c r="W112" s="195"/>
      <c r="X112" s="195"/>
      <c r="Y112" s="195"/>
      <c r="Z112" s="636"/>
      <c r="AB112" s="633"/>
      <c r="AC112" s="194" t="s">
        <v>1</v>
      </c>
      <c r="AD112" s="195"/>
      <c r="AE112" s="194"/>
      <c r="AF112" s="195"/>
      <c r="AG112" s="195"/>
      <c r="AH112" s="195"/>
      <c r="AI112" s="195"/>
      <c r="AJ112" s="195"/>
      <c r="AK112" s="195"/>
      <c r="AL112" s="636"/>
      <c r="AN112" s="633"/>
      <c r="AO112" s="194" t="s">
        <v>1</v>
      </c>
      <c r="AP112" s="195"/>
      <c r="AQ112" s="194"/>
      <c r="AR112" s="195"/>
      <c r="AS112" s="195"/>
      <c r="AT112" s="195"/>
      <c r="AU112" s="195"/>
      <c r="AV112" s="195"/>
      <c r="AW112" s="195"/>
      <c r="AX112" s="636"/>
      <c r="AZ112" s="633"/>
      <c r="BA112" s="194" t="s">
        <v>1</v>
      </c>
      <c r="BB112" s="195"/>
      <c r="BC112" s="194"/>
      <c r="BD112" s="195"/>
      <c r="BE112" s="195"/>
      <c r="BF112" s="195"/>
      <c r="BG112" s="195"/>
      <c r="BH112" s="195"/>
      <c r="BI112" s="195"/>
      <c r="BJ112" s="636"/>
      <c r="BL112" s="633"/>
      <c r="BM112" s="194" t="s">
        <v>1</v>
      </c>
      <c r="BN112" s="195"/>
      <c r="BO112" s="194"/>
      <c r="BP112" s="195"/>
      <c r="BQ112" s="195"/>
      <c r="BR112" s="195"/>
      <c r="BS112" s="195"/>
      <c r="BT112" s="195"/>
      <c r="BU112" s="195"/>
      <c r="BV112" s="636"/>
    </row>
    <row r="113" spans="2:74" ht="26" x14ac:dyDescent="0.3">
      <c r="B113" s="654"/>
      <c r="C113" s="631"/>
      <c r="D113" s="633"/>
      <c r="E113" s="196" t="str">
        <f>E97</f>
        <v>D</v>
      </c>
      <c r="F113" s="197"/>
      <c r="G113" s="196" t="str">
        <f>G97</f>
        <v>A</v>
      </c>
      <c r="H113" s="197"/>
      <c r="I113" s="197"/>
      <c r="J113" s="196" t="str">
        <f>J111</f>
        <v>Um/A</v>
      </c>
      <c r="K113" s="197"/>
      <c r="L113" s="196" t="str">
        <f>L111</f>
        <v>PmO</v>
      </c>
      <c r="M113" s="197"/>
      <c r="N113" s="636"/>
      <c r="P113" s="633"/>
      <c r="Q113" s="196" t="str">
        <f>E113</f>
        <v>D</v>
      </c>
      <c r="R113" s="197"/>
      <c r="S113" s="196" t="str">
        <f>G113</f>
        <v>A</v>
      </c>
      <c r="T113" s="197"/>
      <c r="U113" s="197"/>
      <c r="V113" s="196" t="str">
        <f>V111</f>
        <v>Um/A</v>
      </c>
      <c r="W113" s="197"/>
      <c r="X113" s="196" t="str">
        <f>X111</f>
        <v>PmO</v>
      </c>
      <c r="Y113" s="197"/>
      <c r="Z113" s="636"/>
      <c r="AB113" s="633"/>
      <c r="AC113" s="196" t="str">
        <f>AC97</f>
        <v>D</v>
      </c>
      <c r="AD113" s="197"/>
      <c r="AE113" s="196" t="str">
        <f>S113</f>
        <v>A</v>
      </c>
      <c r="AF113" s="197"/>
      <c r="AG113" s="197"/>
      <c r="AH113" s="196" t="str">
        <f>AH111</f>
        <v>Um/A</v>
      </c>
      <c r="AI113" s="197"/>
      <c r="AJ113" s="196" t="str">
        <f>AJ111</f>
        <v>PmO</v>
      </c>
      <c r="AK113" s="197"/>
      <c r="AL113" s="636"/>
      <c r="AN113" s="633"/>
      <c r="AO113" s="196" t="str">
        <f>AC113</f>
        <v>D</v>
      </c>
      <c r="AP113" s="197"/>
      <c r="AQ113" s="196" t="str">
        <f>AE113</f>
        <v>A</v>
      </c>
      <c r="AR113" s="197"/>
      <c r="AS113" s="197"/>
      <c r="AT113" s="196" t="str">
        <f>AT111</f>
        <v>Um/A</v>
      </c>
      <c r="AU113" s="197"/>
      <c r="AV113" s="196" t="str">
        <f>AV111</f>
        <v>PmO</v>
      </c>
      <c r="AW113" s="197"/>
      <c r="AX113" s="636"/>
      <c r="AZ113" s="633"/>
      <c r="BA113" s="196" t="s">
        <v>65</v>
      </c>
      <c r="BB113" s="197"/>
      <c r="BC113" s="196" t="s">
        <v>64</v>
      </c>
      <c r="BD113" s="197"/>
      <c r="BE113" s="197"/>
      <c r="BF113" s="196" t="str">
        <f>BF111</f>
        <v>Um/A</v>
      </c>
      <c r="BG113" s="197"/>
      <c r="BH113" s="196" t="str">
        <f>+BH111</f>
        <v>CmO</v>
      </c>
      <c r="BI113" s="197"/>
      <c r="BJ113" s="636"/>
      <c r="BL113" s="633"/>
      <c r="BM113" s="196" t="s">
        <v>66</v>
      </c>
      <c r="BN113" s="197"/>
      <c r="BO113" s="196" t="str">
        <f>BC113</f>
        <v>A</v>
      </c>
      <c r="BP113" s="197"/>
      <c r="BQ113" s="197"/>
      <c r="BR113" s="196" t="str">
        <f>BR111</f>
        <v>Um/A</v>
      </c>
      <c r="BS113" s="197"/>
      <c r="BT113" s="196" t="str">
        <f>+BT111</f>
        <v>BmO</v>
      </c>
      <c r="BU113" s="197"/>
      <c r="BV113" s="636"/>
    </row>
    <row r="114" spans="2:74" ht="21" x14ac:dyDescent="0.25">
      <c r="B114" s="654"/>
      <c r="C114" s="631"/>
      <c r="D114" s="633"/>
      <c r="E114" s="158">
        <f>+Q114+AC114+AO114</f>
        <v>44131.360000000001</v>
      </c>
      <c r="F114" s="193" t="s">
        <v>52</v>
      </c>
      <c r="G114" s="159">
        <f>+G10+G18+G26+G34+G42+G50+G58+G66+G74+G82+G90+G98+G106</f>
        <v>2548</v>
      </c>
      <c r="H114" s="193" t="s">
        <v>54</v>
      </c>
      <c r="I114" s="193" t="s">
        <v>55</v>
      </c>
      <c r="J114" s="160">
        <f>+V114+AH114+AT114</f>
        <v>2.1</v>
      </c>
      <c r="K114" s="193" t="s">
        <v>54</v>
      </c>
      <c r="L114" s="162">
        <f>E114/G114/J114</f>
        <v>8.2476190476190467</v>
      </c>
      <c r="M114" s="193" t="s">
        <v>58</v>
      </c>
      <c r="N114" s="636"/>
      <c r="P114" s="633"/>
      <c r="Q114" s="198">
        <f>+Q10+Q18+Q26+Q34+Q42+Q50+Q58+Q66+Q74+Q82+Q90+Q98+Q106</f>
        <v>12272.86666666667</v>
      </c>
      <c r="R114" s="193" t="s">
        <v>52</v>
      </c>
      <c r="S114" s="159">
        <f>+S10+S18+S26+S34+S42+S50+S58+S66+S74+S82+S90+S98+S106</f>
        <v>2548</v>
      </c>
      <c r="T114" s="193" t="s">
        <v>54</v>
      </c>
      <c r="U114" s="193" t="s">
        <v>55</v>
      </c>
      <c r="V114" s="160">
        <f>+(V10+V18+V26+V34+V42+V50+V58+V66+V74+V82+V90+V98+V106)/13</f>
        <v>1</v>
      </c>
      <c r="W114" s="193" t="s">
        <v>54</v>
      </c>
      <c r="X114" s="162">
        <f>Q114/S114/V114</f>
        <v>4.8166666666666682</v>
      </c>
      <c r="Y114" s="193" t="s">
        <v>58</v>
      </c>
      <c r="Z114" s="636"/>
      <c r="AB114" s="633"/>
      <c r="AC114" s="198">
        <f>+AC10+AC18+AC26+AC34+AC42+AC50+AC58+AC66+AC74+AC82+AC90+AC98+AC106</f>
        <v>24290.933333333331</v>
      </c>
      <c r="AD114" s="193" t="s">
        <v>52</v>
      </c>
      <c r="AE114" s="159">
        <f>+AE10+AE18+AE26+AE34+AE42+AE50+AE58+AE66+AE74+AE82+AE90+AE98+AE106</f>
        <v>2548</v>
      </c>
      <c r="AF114" s="193" t="s">
        <v>54</v>
      </c>
      <c r="AG114" s="193" t="s">
        <v>55</v>
      </c>
      <c r="AH114" s="160">
        <f>+(AH10+AH18+AH26+AH34+AH42+AH50+AH58+AH66+AH74+AH82+AH90+AH98+AH106)/13</f>
        <v>1</v>
      </c>
      <c r="AI114" s="193" t="s">
        <v>54</v>
      </c>
      <c r="AJ114" s="162">
        <f>AC114/AE114/AH114</f>
        <v>9.5333333333333314</v>
      </c>
      <c r="AK114" s="193" t="s">
        <v>58</v>
      </c>
      <c r="AL114" s="636"/>
      <c r="AN114" s="633"/>
      <c r="AO114" s="198">
        <f>+AO10+AO18+AO26+AO34+AO42+AO50+AO58+AO66+AO74+AO82+AO90+AO98+AO106</f>
        <v>7567.5599999999995</v>
      </c>
      <c r="AP114" s="193" t="s">
        <v>52</v>
      </c>
      <c r="AQ114" s="159">
        <f>+AQ10+AQ18+AQ26+AQ34+AQ42+AQ50+AQ58+AQ66+AQ74+AQ82+AQ90+AQ98+AQ106</f>
        <v>2548</v>
      </c>
      <c r="AR114" s="193" t="s">
        <v>54</v>
      </c>
      <c r="AS114" s="193" t="s">
        <v>55</v>
      </c>
      <c r="AT114" s="160">
        <f>+(AT10+AT18+AT26+AT34+AT42+AT50+AT58+AT66+AT74+AT82+AT90+AT98+AT106)/13</f>
        <v>0.1</v>
      </c>
      <c r="AU114" s="193" t="s">
        <v>54</v>
      </c>
      <c r="AV114" s="158">
        <f>AO114/AQ114/AT114</f>
        <v>29.699999999999996</v>
      </c>
      <c r="AW114" s="193" t="s">
        <v>58</v>
      </c>
      <c r="AX114" s="636"/>
      <c r="AZ114" s="633"/>
      <c r="BA114" s="198">
        <f>+BA10+BA18+BA26+BA34+BA42+BA50+BA58+BA66+BA74+BA82+BA90+BA98+BA106</f>
        <v>0</v>
      </c>
      <c r="BB114" s="193" t="s">
        <v>52</v>
      </c>
      <c r="BC114" s="159">
        <f>G114</f>
        <v>2548</v>
      </c>
      <c r="BD114" s="193" t="s">
        <v>54</v>
      </c>
      <c r="BE114" s="193" t="s">
        <v>55</v>
      </c>
      <c r="BF114" s="160">
        <f>J114</f>
        <v>2.1</v>
      </c>
      <c r="BG114" s="193" t="s">
        <v>54</v>
      </c>
      <c r="BH114" s="158">
        <f>BA114/BC114/BF114</f>
        <v>0</v>
      </c>
      <c r="BI114" s="193" t="s">
        <v>58</v>
      </c>
      <c r="BJ114" s="636"/>
      <c r="BL114" s="633"/>
      <c r="BM114" s="198">
        <f>+BM10+BM18+BM26+BM34+BM42+BM50+BM58+BM66+BM74+BM82+BM90+BM98+BM106</f>
        <v>44131.360000000008</v>
      </c>
      <c r="BN114" s="193" t="s">
        <v>52</v>
      </c>
      <c r="BO114" s="159">
        <f>S114</f>
        <v>2548</v>
      </c>
      <c r="BP114" s="193" t="s">
        <v>54</v>
      </c>
      <c r="BQ114" s="193" t="s">
        <v>55</v>
      </c>
      <c r="BR114" s="160">
        <f>J114</f>
        <v>2.1</v>
      </c>
      <c r="BS114" s="193" t="s">
        <v>54</v>
      </c>
      <c r="BT114" s="158">
        <f>BM114/BO114/BR114</f>
        <v>8.2476190476190485</v>
      </c>
      <c r="BU114" s="193" t="s">
        <v>58</v>
      </c>
      <c r="BV114" s="636"/>
    </row>
    <row r="115" spans="2:74" ht="16" x14ac:dyDescent="0.2">
      <c r="B115" s="654"/>
      <c r="C115" s="631"/>
      <c r="D115" s="634"/>
      <c r="E115" s="199"/>
      <c r="F115" s="199"/>
      <c r="G115" s="199"/>
      <c r="H115" s="199"/>
      <c r="I115" s="199"/>
      <c r="J115" s="199"/>
      <c r="K115" s="199"/>
      <c r="L115" s="199"/>
      <c r="M115" s="199"/>
      <c r="N115" s="637"/>
      <c r="P115" s="634"/>
      <c r="Q115" s="199"/>
      <c r="R115" s="199"/>
      <c r="S115" s="199"/>
      <c r="T115" s="199"/>
      <c r="U115" s="199"/>
      <c r="V115" s="199"/>
      <c r="W115" s="199"/>
      <c r="X115" s="199"/>
      <c r="Y115" s="199"/>
      <c r="Z115" s="637"/>
      <c r="AB115" s="634"/>
      <c r="AC115" s="199"/>
      <c r="AD115" s="199"/>
      <c r="AE115" s="199"/>
      <c r="AF115" s="199"/>
      <c r="AG115" s="199"/>
      <c r="AH115" s="199"/>
      <c r="AI115" s="199"/>
      <c r="AJ115" s="199"/>
      <c r="AK115" s="199"/>
      <c r="AL115" s="637"/>
      <c r="AN115" s="634"/>
      <c r="AO115" s="199"/>
      <c r="AP115" s="199"/>
      <c r="AQ115" s="199"/>
      <c r="AR115" s="199"/>
      <c r="AS115" s="199"/>
      <c r="AT115" s="199"/>
      <c r="AU115" s="199"/>
      <c r="AV115" s="199"/>
      <c r="AW115" s="199"/>
      <c r="AX115" s="637"/>
      <c r="AZ115" s="634"/>
      <c r="BA115" s="199"/>
      <c r="BB115" s="199"/>
      <c r="BC115" s="199"/>
      <c r="BD115" s="199"/>
      <c r="BE115" s="199"/>
      <c r="BF115" s="199"/>
      <c r="BG115" s="199"/>
      <c r="BH115" s="199"/>
      <c r="BI115" s="199"/>
      <c r="BJ115" s="637"/>
      <c r="BL115" s="634"/>
      <c r="BM115" s="199"/>
      <c r="BN115" s="199"/>
      <c r="BO115" s="199"/>
      <c r="BP115" s="199"/>
      <c r="BQ115" s="199"/>
      <c r="BR115" s="199"/>
      <c r="BS115" s="199"/>
      <c r="BT115" s="199"/>
      <c r="BU115" s="199"/>
      <c r="BV115" s="637"/>
    </row>
    <row r="116" spans="2:74" ht="5" customHeight="1" thickTop="1" thickBot="1" x14ac:dyDescent="0.2">
      <c r="B116" s="654"/>
      <c r="C116" s="150"/>
    </row>
    <row r="117" spans="2:74" ht="17" thickTop="1" x14ac:dyDescent="0.2">
      <c r="B117" s="654"/>
      <c r="C117" s="631" t="s">
        <v>67</v>
      </c>
      <c r="D117" s="632" t="s">
        <v>49</v>
      </c>
      <c r="E117" s="191"/>
      <c r="F117" s="191"/>
      <c r="G117" s="216" t="s">
        <v>37</v>
      </c>
      <c r="H117" s="191"/>
      <c r="I117" s="191"/>
      <c r="J117" s="191"/>
      <c r="K117" s="191"/>
      <c r="L117" s="191"/>
      <c r="M117" s="191"/>
      <c r="N117" s="635" t="s">
        <v>50</v>
      </c>
      <c r="P117" s="632" t="s">
        <v>49</v>
      </c>
      <c r="Q117" s="191"/>
      <c r="R117" s="191"/>
      <c r="S117" s="216" t="s">
        <v>37</v>
      </c>
      <c r="T117" s="191"/>
      <c r="U117" s="191"/>
      <c r="V117" s="191"/>
      <c r="W117" s="191"/>
      <c r="X117" s="191"/>
      <c r="Y117" s="191"/>
      <c r="Z117" s="635" t="s">
        <v>50</v>
      </c>
      <c r="AB117" s="632" t="s">
        <v>49</v>
      </c>
      <c r="AC117" s="191"/>
      <c r="AD117" s="191"/>
      <c r="AE117" s="216" t="s">
        <v>37</v>
      </c>
      <c r="AF117" s="191"/>
      <c r="AG117" s="191"/>
      <c r="AH117" s="191"/>
      <c r="AI117" s="191"/>
      <c r="AJ117" s="191"/>
      <c r="AK117" s="191"/>
      <c r="AL117" s="635" t="s">
        <v>50</v>
      </c>
      <c r="AN117" s="632" t="s">
        <v>49</v>
      </c>
      <c r="AO117" s="191"/>
      <c r="AP117" s="191"/>
      <c r="AQ117" s="216" t="s">
        <v>37</v>
      </c>
      <c r="AR117" s="191"/>
      <c r="AS117" s="191"/>
      <c r="AT117" s="191"/>
      <c r="AU117" s="191"/>
      <c r="AV117" s="191"/>
      <c r="AW117" s="191"/>
      <c r="AX117" s="635" t="s">
        <v>50</v>
      </c>
      <c r="AZ117" s="632" t="s">
        <v>49</v>
      </c>
      <c r="BA117" s="191"/>
      <c r="BB117" s="191"/>
      <c r="BC117" s="216" t="s">
        <v>37</v>
      </c>
      <c r="BD117" s="191"/>
      <c r="BE117" s="191"/>
      <c r="BF117" s="191"/>
      <c r="BG117" s="191"/>
      <c r="BH117" s="191"/>
      <c r="BI117" s="191"/>
      <c r="BJ117" s="635" t="s">
        <v>50</v>
      </c>
      <c r="BL117" s="632" t="s">
        <v>49</v>
      </c>
      <c r="BM117" s="191"/>
      <c r="BN117" s="191"/>
      <c r="BO117" s="216" t="s">
        <v>37</v>
      </c>
      <c r="BP117" s="191"/>
      <c r="BQ117" s="191"/>
      <c r="BR117" s="191"/>
      <c r="BS117" s="191"/>
      <c r="BT117" s="191"/>
      <c r="BU117" s="191"/>
      <c r="BV117" s="635" t="s">
        <v>50</v>
      </c>
    </row>
    <row r="118" spans="2:74" ht="16" x14ac:dyDescent="0.2">
      <c r="B118" s="654"/>
      <c r="C118" s="631"/>
      <c r="D118" s="633"/>
      <c r="E118" s="192"/>
      <c r="F118" s="192"/>
      <c r="G118" s="192"/>
      <c r="H118" s="192"/>
      <c r="I118" s="192"/>
      <c r="J118" s="192"/>
      <c r="K118" s="192"/>
      <c r="L118" s="192"/>
      <c r="M118" s="192"/>
      <c r="N118" s="636"/>
      <c r="P118" s="633"/>
      <c r="Q118" s="192"/>
      <c r="R118" s="192"/>
      <c r="S118" s="192"/>
      <c r="T118" s="192"/>
      <c r="U118" s="192"/>
      <c r="V118" s="192"/>
      <c r="W118" s="192"/>
      <c r="X118" s="192"/>
      <c r="Y118" s="192"/>
      <c r="Z118" s="636"/>
      <c r="AB118" s="633"/>
      <c r="AC118" s="192"/>
      <c r="AD118" s="192"/>
      <c r="AE118" s="192"/>
      <c r="AF118" s="192"/>
      <c r="AG118" s="192"/>
      <c r="AH118" s="192"/>
      <c r="AI118" s="192"/>
      <c r="AJ118" s="192"/>
      <c r="AK118" s="192"/>
      <c r="AL118" s="636"/>
      <c r="AN118" s="633"/>
      <c r="AO118" s="192"/>
      <c r="AP118" s="192"/>
      <c r="AQ118" s="192"/>
      <c r="AR118" s="192"/>
      <c r="AS118" s="192"/>
      <c r="AT118" s="192"/>
      <c r="AU118" s="192"/>
      <c r="AV118" s="192"/>
      <c r="AW118" s="192"/>
      <c r="AX118" s="636"/>
      <c r="AZ118" s="633"/>
      <c r="BA118" s="192"/>
      <c r="BB118" s="192"/>
      <c r="BC118" s="192"/>
      <c r="BD118" s="192"/>
      <c r="BE118" s="192"/>
      <c r="BF118" s="192"/>
      <c r="BG118" s="192"/>
      <c r="BH118" s="192"/>
      <c r="BI118" s="192"/>
      <c r="BJ118" s="636"/>
      <c r="BL118" s="633"/>
      <c r="BM118" s="192"/>
      <c r="BN118" s="192"/>
      <c r="BO118" s="192"/>
      <c r="BP118" s="192"/>
      <c r="BQ118" s="192"/>
      <c r="BR118" s="192"/>
      <c r="BS118" s="192"/>
      <c r="BT118" s="192"/>
      <c r="BU118" s="192"/>
      <c r="BV118" s="636"/>
    </row>
    <row r="119" spans="2:74" ht="21" x14ac:dyDescent="0.25">
      <c r="B119" s="654"/>
      <c r="C119" s="631"/>
      <c r="D119" s="633"/>
      <c r="E119" s="193" t="str">
        <f>E111</f>
        <v>Demande mensuelle</v>
      </c>
      <c r="F119" s="193" t="s">
        <v>52</v>
      </c>
      <c r="G119" s="193" t="str">
        <f>G111</f>
        <v>Achalandage annuelle</v>
      </c>
      <c r="H119" s="193" t="s">
        <v>54</v>
      </c>
      <c r="I119" s="193" t="s">
        <v>55</v>
      </c>
      <c r="J119" s="646" t="s">
        <v>71</v>
      </c>
      <c r="K119" s="639"/>
      <c r="L119" s="639"/>
      <c r="M119" s="193" t="s">
        <v>58</v>
      </c>
      <c r="N119" s="636"/>
      <c r="P119" s="633"/>
      <c r="Q119" s="193" t="str">
        <f>Q111</f>
        <v>Demande mensuelle</v>
      </c>
      <c r="R119" s="193" t="s">
        <v>52</v>
      </c>
      <c r="S119" s="193" t="str">
        <f>S111</f>
        <v>Achalandage annuelle</v>
      </c>
      <c r="T119" s="193" t="s">
        <v>54</v>
      </c>
      <c r="U119" s="193" t="s">
        <v>55</v>
      </c>
      <c r="V119" s="646" t="str">
        <f>J119</f>
        <v>Dm/A</v>
      </c>
      <c r="W119" s="639"/>
      <c r="X119" s="639"/>
      <c r="Y119" s="193" t="s">
        <v>58</v>
      </c>
      <c r="Z119" s="636"/>
      <c r="AB119" s="633"/>
      <c r="AC119" s="193" t="str">
        <f>AC111</f>
        <v>Demande mensuelle</v>
      </c>
      <c r="AD119" s="193" t="s">
        <v>52</v>
      </c>
      <c r="AE119" s="193" t="str">
        <f>AE111</f>
        <v>Achalandage annuelle</v>
      </c>
      <c r="AF119" s="193" t="s">
        <v>54</v>
      </c>
      <c r="AG119" s="193" t="s">
        <v>55</v>
      </c>
      <c r="AH119" s="646" t="str">
        <f>V119</f>
        <v>Dm/A</v>
      </c>
      <c r="AI119" s="639"/>
      <c r="AJ119" s="639"/>
      <c r="AK119" s="193" t="s">
        <v>58</v>
      </c>
      <c r="AL119" s="636"/>
      <c r="AN119" s="633"/>
      <c r="AO119" s="193" t="str">
        <f>AO111</f>
        <v>Demande mensuelle</v>
      </c>
      <c r="AP119" s="193" t="s">
        <v>52</v>
      </c>
      <c r="AQ119" s="193" t="str">
        <f>AQ111</f>
        <v>Achalandage annuelle</v>
      </c>
      <c r="AR119" s="193" t="s">
        <v>54</v>
      </c>
      <c r="AS119" s="193" t="s">
        <v>55</v>
      </c>
      <c r="AT119" s="646" t="str">
        <f>AH119</f>
        <v>Dm/A</v>
      </c>
      <c r="AU119" s="639"/>
      <c r="AV119" s="639"/>
      <c r="AW119" s="193" t="s">
        <v>58</v>
      </c>
      <c r="AX119" s="636"/>
      <c r="AZ119" s="633"/>
      <c r="BA119" s="193" t="str">
        <f>BA111</f>
        <v>Coût annuel</v>
      </c>
      <c r="BB119" s="193" t="s">
        <v>52</v>
      </c>
      <c r="BC119" s="193" t="str">
        <f>BC111</f>
        <v>Achalandage annuelle</v>
      </c>
      <c r="BD119" s="193" t="s">
        <v>54</v>
      </c>
      <c r="BE119" s="193" t="s">
        <v>55</v>
      </c>
      <c r="BF119" s="646" t="s">
        <v>72</v>
      </c>
      <c r="BG119" s="639"/>
      <c r="BH119" s="639"/>
      <c r="BI119" s="193" t="s">
        <v>58</v>
      </c>
      <c r="BJ119" s="636"/>
      <c r="BL119" s="633"/>
      <c r="BM119" s="193" t="str">
        <f>BM111</f>
        <v>Bénéfice annuel</v>
      </c>
      <c r="BN119" s="193" t="s">
        <v>52</v>
      </c>
      <c r="BO119" s="193" t="str">
        <f>BO111</f>
        <v>Achalandage annuelle</v>
      </c>
      <c r="BP119" s="193" t="s">
        <v>54</v>
      </c>
      <c r="BQ119" s="193" t="s">
        <v>55</v>
      </c>
      <c r="BR119" s="646" t="s">
        <v>73</v>
      </c>
      <c r="BS119" s="639"/>
      <c r="BT119" s="639"/>
      <c r="BU119" s="193" t="s">
        <v>58</v>
      </c>
      <c r="BV119" s="636"/>
    </row>
    <row r="120" spans="2:74" ht="19" x14ac:dyDescent="0.25">
      <c r="B120" s="654"/>
      <c r="C120" s="631"/>
      <c r="D120" s="633"/>
      <c r="E120" s="194" t="s">
        <v>1</v>
      </c>
      <c r="F120" s="195"/>
      <c r="G120" s="194"/>
      <c r="H120" s="195"/>
      <c r="I120" s="195"/>
      <c r="J120" s="195"/>
      <c r="K120" s="195"/>
      <c r="L120" s="195"/>
      <c r="M120" s="195"/>
      <c r="N120" s="636"/>
      <c r="P120" s="633"/>
      <c r="Q120" s="194" t="s">
        <v>1</v>
      </c>
      <c r="R120" s="195"/>
      <c r="S120" s="194"/>
      <c r="T120" s="195"/>
      <c r="U120" s="195"/>
      <c r="V120" s="195"/>
      <c r="W120" s="195"/>
      <c r="X120" s="195"/>
      <c r="Y120" s="195"/>
      <c r="Z120" s="636"/>
      <c r="AB120" s="633"/>
      <c r="AC120" s="194" t="s">
        <v>1</v>
      </c>
      <c r="AD120" s="195"/>
      <c r="AE120" s="194"/>
      <c r="AF120" s="195"/>
      <c r="AG120" s="195"/>
      <c r="AH120" s="195"/>
      <c r="AI120" s="195"/>
      <c r="AJ120" s="195"/>
      <c r="AK120" s="195"/>
      <c r="AL120" s="636"/>
      <c r="AN120" s="633"/>
      <c r="AO120" s="194" t="s">
        <v>1</v>
      </c>
      <c r="AP120" s="195"/>
      <c r="AQ120" s="194"/>
      <c r="AR120" s="195"/>
      <c r="AS120" s="195"/>
      <c r="AT120" s="195"/>
      <c r="AU120" s="195"/>
      <c r="AV120" s="195"/>
      <c r="AW120" s="195"/>
      <c r="AX120" s="636"/>
      <c r="AZ120" s="633"/>
      <c r="BA120" s="194" t="s">
        <v>1</v>
      </c>
      <c r="BB120" s="195"/>
      <c r="BC120" s="194"/>
      <c r="BD120" s="195"/>
      <c r="BE120" s="195"/>
      <c r="BF120" s="195"/>
      <c r="BG120" s="195"/>
      <c r="BH120" s="195"/>
      <c r="BI120" s="195"/>
      <c r="BJ120" s="636"/>
      <c r="BL120" s="633"/>
      <c r="BM120" s="194" t="s">
        <v>1</v>
      </c>
      <c r="BN120" s="195"/>
      <c r="BO120" s="194"/>
      <c r="BP120" s="195"/>
      <c r="BQ120" s="195"/>
      <c r="BR120" s="195"/>
      <c r="BS120" s="195"/>
      <c r="BT120" s="195"/>
      <c r="BU120" s="195"/>
      <c r="BV120" s="636"/>
    </row>
    <row r="121" spans="2:74" ht="26" x14ac:dyDescent="0.3">
      <c r="B121" s="654"/>
      <c r="C121" s="631"/>
      <c r="D121" s="633"/>
      <c r="E121" s="196" t="str">
        <f>E113</f>
        <v>D</v>
      </c>
      <c r="F121" s="197"/>
      <c r="G121" s="196" t="str">
        <f>G113</f>
        <v>A</v>
      </c>
      <c r="H121" s="197"/>
      <c r="I121" s="197"/>
      <c r="J121" s="638" t="str">
        <f>J119</f>
        <v>Dm/A</v>
      </c>
      <c r="K121" s="639"/>
      <c r="L121" s="639"/>
      <c r="M121" s="197"/>
      <c r="N121" s="636"/>
      <c r="P121" s="633"/>
      <c r="Q121" s="196" t="str">
        <f>E121</f>
        <v>D</v>
      </c>
      <c r="R121" s="197"/>
      <c r="S121" s="196" t="str">
        <f>G121</f>
        <v>A</v>
      </c>
      <c r="T121" s="197"/>
      <c r="U121" s="197"/>
      <c r="V121" s="638" t="str">
        <f>V119</f>
        <v>Dm/A</v>
      </c>
      <c r="W121" s="639"/>
      <c r="X121" s="639"/>
      <c r="Y121" s="197"/>
      <c r="Z121" s="636"/>
      <c r="AB121" s="633"/>
      <c r="AC121" s="196" t="str">
        <f>AC113</f>
        <v>D</v>
      </c>
      <c r="AD121" s="197"/>
      <c r="AE121" s="196" t="str">
        <f>AE113</f>
        <v>A</v>
      </c>
      <c r="AF121" s="197"/>
      <c r="AG121" s="197"/>
      <c r="AH121" s="638" t="str">
        <f>AH119</f>
        <v>Dm/A</v>
      </c>
      <c r="AI121" s="639"/>
      <c r="AJ121" s="639"/>
      <c r="AK121" s="197"/>
      <c r="AL121" s="636"/>
      <c r="AN121" s="633"/>
      <c r="AO121" s="196" t="str">
        <f>AO113</f>
        <v>D</v>
      </c>
      <c r="AP121" s="197"/>
      <c r="AQ121" s="196" t="str">
        <f>AQ113</f>
        <v>A</v>
      </c>
      <c r="AR121" s="197"/>
      <c r="AS121" s="197"/>
      <c r="AT121" s="638" t="str">
        <f>AT119</f>
        <v>Dm/A</v>
      </c>
      <c r="AU121" s="639"/>
      <c r="AV121" s="639"/>
      <c r="AW121" s="197"/>
      <c r="AX121" s="636"/>
      <c r="AZ121" s="633"/>
      <c r="BA121" s="196" t="str">
        <f>BA113</f>
        <v xml:space="preserve">C </v>
      </c>
      <c r="BB121" s="197"/>
      <c r="BC121" s="196" t="s">
        <v>64</v>
      </c>
      <c r="BD121" s="197"/>
      <c r="BE121" s="197"/>
      <c r="BF121" s="638" t="str">
        <f>+BF119</f>
        <v>Cm/A</v>
      </c>
      <c r="BG121" s="639"/>
      <c r="BH121" s="639"/>
      <c r="BI121" s="197"/>
      <c r="BJ121" s="636"/>
      <c r="BL121" s="633"/>
      <c r="BM121" s="196" t="str">
        <f>BM113</f>
        <v xml:space="preserve">B </v>
      </c>
      <c r="BN121" s="197"/>
      <c r="BO121" s="196" t="str">
        <f>BO113</f>
        <v>A</v>
      </c>
      <c r="BP121" s="197"/>
      <c r="BQ121" s="197"/>
      <c r="BR121" s="638" t="str">
        <f>+BR119</f>
        <v>Bm/A</v>
      </c>
      <c r="BS121" s="639"/>
      <c r="BT121" s="639"/>
      <c r="BU121" s="197"/>
      <c r="BV121" s="636"/>
    </row>
    <row r="122" spans="2:74" ht="21" x14ac:dyDescent="0.25">
      <c r="B122" s="654"/>
      <c r="C122" s="631"/>
      <c r="D122" s="633"/>
      <c r="E122" s="158">
        <f>+Q122+AC122+AO122</f>
        <v>44131.360000000001</v>
      </c>
      <c r="F122" s="193" t="s">
        <v>52</v>
      </c>
      <c r="G122" s="159">
        <f>'% Occupation'!Q19</f>
        <v>2548</v>
      </c>
      <c r="H122" s="193" t="s">
        <v>54</v>
      </c>
      <c r="I122" s="193" t="s">
        <v>55</v>
      </c>
      <c r="J122" s="640">
        <f>+E122/G122</f>
        <v>17.32</v>
      </c>
      <c r="K122" s="641"/>
      <c r="L122" s="641"/>
      <c r="M122" s="193" t="s">
        <v>58</v>
      </c>
      <c r="N122" s="636"/>
      <c r="P122" s="633"/>
      <c r="Q122" s="198">
        <f>+Q114</f>
        <v>12272.86666666667</v>
      </c>
      <c r="R122" s="193" t="s">
        <v>52</v>
      </c>
      <c r="S122" s="159">
        <f>+S114</f>
        <v>2548</v>
      </c>
      <c r="T122" s="193" t="s">
        <v>54</v>
      </c>
      <c r="U122" s="193" t="s">
        <v>55</v>
      </c>
      <c r="V122" s="642">
        <f>Q122/S122</f>
        <v>4.8166666666666682</v>
      </c>
      <c r="W122" s="643"/>
      <c r="X122" s="643"/>
      <c r="Y122" s="193" t="s">
        <v>58</v>
      </c>
      <c r="Z122" s="636"/>
      <c r="AB122" s="633"/>
      <c r="AC122" s="198">
        <f>+AC114</f>
        <v>24290.933333333331</v>
      </c>
      <c r="AD122" s="193" t="s">
        <v>52</v>
      </c>
      <c r="AE122" s="159">
        <f>+AE114</f>
        <v>2548</v>
      </c>
      <c r="AF122" s="193" t="s">
        <v>54</v>
      </c>
      <c r="AG122" s="193" t="s">
        <v>55</v>
      </c>
      <c r="AH122" s="640">
        <f>AC122/AE122</f>
        <v>9.5333333333333314</v>
      </c>
      <c r="AI122" s="641"/>
      <c r="AJ122" s="641"/>
      <c r="AK122" s="193" t="s">
        <v>58</v>
      </c>
      <c r="AL122" s="636"/>
      <c r="AN122" s="633"/>
      <c r="AO122" s="198">
        <f>+AO114</f>
        <v>7567.5599999999995</v>
      </c>
      <c r="AP122" s="193" t="s">
        <v>52</v>
      </c>
      <c r="AQ122" s="159">
        <f>+AQ114</f>
        <v>2548</v>
      </c>
      <c r="AR122" s="193" t="s">
        <v>54</v>
      </c>
      <c r="AS122" s="193" t="s">
        <v>55</v>
      </c>
      <c r="AT122" s="644">
        <f>AO122/AQ122</f>
        <v>2.9699999999999998</v>
      </c>
      <c r="AU122" s="645"/>
      <c r="AV122" s="645"/>
      <c r="AW122" s="193" t="s">
        <v>58</v>
      </c>
      <c r="AX122" s="636"/>
      <c r="AZ122" s="633"/>
      <c r="BA122" s="198">
        <f>+BA114</f>
        <v>0</v>
      </c>
      <c r="BB122" s="193" t="s">
        <v>52</v>
      </c>
      <c r="BC122" s="159">
        <f>G122</f>
        <v>2548</v>
      </c>
      <c r="BD122" s="193" t="s">
        <v>54</v>
      </c>
      <c r="BE122" s="193" t="s">
        <v>55</v>
      </c>
      <c r="BF122" s="644">
        <f>BA122/BC122</f>
        <v>0</v>
      </c>
      <c r="BG122" s="645"/>
      <c r="BH122" s="645"/>
      <c r="BI122" s="193" t="s">
        <v>58</v>
      </c>
      <c r="BJ122" s="636"/>
      <c r="BL122" s="633"/>
      <c r="BM122" s="198">
        <f>+BM114</f>
        <v>44131.360000000008</v>
      </c>
      <c r="BN122" s="193" t="s">
        <v>52</v>
      </c>
      <c r="BO122" s="159">
        <f>S122</f>
        <v>2548</v>
      </c>
      <c r="BP122" s="193" t="s">
        <v>54</v>
      </c>
      <c r="BQ122" s="193" t="s">
        <v>55</v>
      </c>
      <c r="BR122" s="644">
        <f>BM122/BO122</f>
        <v>17.320000000000004</v>
      </c>
      <c r="BS122" s="645"/>
      <c r="BT122" s="645"/>
      <c r="BU122" s="193" t="s">
        <v>58</v>
      </c>
      <c r="BV122" s="636"/>
    </row>
    <row r="123" spans="2:74" ht="17" thickBot="1" x14ac:dyDescent="0.25">
      <c r="B123" s="655"/>
      <c r="C123" s="631"/>
      <c r="D123" s="634"/>
      <c r="E123" s="199"/>
      <c r="F123" s="199"/>
      <c r="G123" s="199"/>
      <c r="H123" s="199"/>
      <c r="I123" s="199"/>
      <c r="J123" s="199"/>
      <c r="K123" s="199"/>
      <c r="L123" s="199"/>
      <c r="M123" s="199"/>
      <c r="N123" s="637"/>
      <c r="P123" s="634"/>
      <c r="Q123" s="199"/>
      <c r="R123" s="199"/>
      <c r="S123" s="199"/>
      <c r="T123" s="199"/>
      <c r="U123" s="199"/>
      <c r="V123" s="199"/>
      <c r="W123" s="199"/>
      <c r="X123" s="199"/>
      <c r="Y123" s="199"/>
      <c r="Z123" s="637"/>
      <c r="AB123" s="634"/>
      <c r="AC123" s="199"/>
      <c r="AD123" s="199"/>
      <c r="AE123" s="199"/>
      <c r="AF123" s="199"/>
      <c r="AG123" s="199"/>
      <c r="AH123" s="199"/>
      <c r="AI123" s="199"/>
      <c r="AJ123" s="199"/>
      <c r="AK123" s="199"/>
      <c r="AL123" s="637"/>
      <c r="AN123" s="634"/>
      <c r="AO123" s="199"/>
      <c r="AP123" s="199"/>
      <c r="AQ123" s="199"/>
      <c r="AR123" s="199"/>
      <c r="AS123" s="199"/>
      <c r="AT123" s="199"/>
      <c r="AU123" s="199"/>
      <c r="AV123" s="199"/>
      <c r="AW123" s="199"/>
      <c r="AX123" s="637"/>
      <c r="AZ123" s="634"/>
      <c r="BA123" s="199"/>
      <c r="BB123" s="199"/>
      <c r="BC123" s="199"/>
      <c r="BD123" s="199"/>
      <c r="BE123" s="199"/>
      <c r="BF123" s="199"/>
      <c r="BG123" s="199"/>
      <c r="BH123" s="199"/>
      <c r="BI123" s="199"/>
      <c r="BJ123" s="637"/>
      <c r="BL123" s="634"/>
      <c r="BM123" s="199"/>
      <c r="BN123" s="199"/>
      <c r="BO123" s="199"/>
      <c r="BP123" s="199"/>
      <c r="BQ123" s="199"/>
      <c r="BR123" s="199"/>
      <c r="BS123" s="199"/>
      <c r="BT123" s="199"/>
      <c r="BU123" s="199"/>
      <c r="BV123" s="637"/>
    </row>
    <row r="124" spans="2:74" x14ac:dyDescent="0.15">
      <c r="C124" s="150"/>
    </row>
    <row r="125" spans="2:74" ht="18" x14ac:dyDescent="0.2">
      <c r="D125" s="164" t="s">
        <v>74</v>
      </c>
      <c r="E125" s="164"/>
    </row>
    <row r="126" spans="2:74" ht="18" x14ac:dyDescent="0.2">
      <c r="D126" s="164" t="s">
        <v>75</v>
      </c>
      <c r="E126" s="164"/>
    </row>
    <row r="127" spans="2:74" ht="18" x14ac:dyDescent="0.2">
      <c r="D127" s="164" t="s">
        <v>76</v>
      </c>
      <c r="E127" s="164"/>
    </row>
    <row r="128" spans="2:74" ht="18" x14ac:dyDescent="0.2">
      <c r="D128" s="164" t="s">
        <v>77</v>
      </c>
      <c r="E128" s="164"/>
    </row>
    <row r="129" spans="3:9" ht="18" x14ac:dyDescent="0.2">
      <c r="D129" s="164" t="s">
        <v>78</v>
      </c>
      <c r="E129" s="164"/>
    </row>
    <row r="130" spans="3:9" ht="18" x14ac:dyDescent="0.2">
      <c r="C130" s="164"/>
      <c r="D130" s="164"/>
    </row>
    <row r="131" spans="3:9" ht="18" x14ac:dyDescent="0.2">
      <c r="D131" s="200" t="s">
        <v>79</v>
      </c>
      <c r="E131" s="200"/>
      <c r="F131" s="201"/>
      <c r="G131" s="201"/>
      <c r="H131" s="201"/>
      <c r="I131" s="201"/>
    </row>
  </sheetData>
  <sheetProtection algorithmName="SHA-512" hashValue="7jwDqxSGB93K+asLhtu8DNkb/RFGD5TSoFC1hSfYuYd93Db9smuEhNVmXXl9nxsqMVn3kgpoAwaur0z2dXWAzw==" saltValue="JpJFTOeAMVKuv1OGB88iYg==" spinCount="100000" sheet="1" objects="1" scenarios="1"/>
  <mergeCells count="226">
    <mergeCell ref="D2:N3"/>
    <mergeCell ref="P2:Z3"/>
    <mergeCell ref="AB2:AL3"/>
    <mergeCell ref="AN2:AX3"/>
    <mergeCell ref="AZ2:BJ3"/>
    <mergeCell ref="BL2:BV3"/>
    <mergeCell ref="D101:D107"/>
    <mergeCell ref="N101:N107"/>
    <mergeCell ref="P101:P107"/>
    <mergeCell ref="Z101:Z107"/>
    <mergeCell ref="AB101:AB107"/>
    <mergeCell ref="AL101:AL107"/>
    <mergeCell ref="AN101:AN107"/>
    <mergeCell ref="AX101:AX107"/>
    <mergeCell ref="AZ101:AZ107"/>
    <mergeCell ref="BJ101:BJ107"/>
    <mergeCell ref="BL101:BL107"/>
    <mergeCell ref="BV101:BV107"/>
    <mergeCell ref="AX13:AX19"/>
    <mergeCell ref="AZ13:AZ19"/>
    <mergeCell ref="BJ13:BJ19"/>
    <mergeCell ref="AX21:AX27"/>
    <mergeCell ref="AZ21:AZ27"/>
    <mergeCell ref="BJ21:BJ27"/>
    <mergeCell ref="B77:B107"/>
    <mergeCell ref="AX5:AX11"/>
    <mergeCell ref="AZ5:AZ11"/>
    <mergeCell ref="BJ5:BJ11"/>
    <mergeCell ref="BL5:BL11"/>
    <mergeCell ref="BV5:BV11"/>
    <mergeCell ref="C13:C19"/>
    <mergeCell ref="D13:D19"/>
    <mergeCell ref="N13:N19"/>
    <mergeCell ref="P13:P19"/>
    <mergeCell ref="Z13:Z19"/>
    <mergeCell ref="Z5:Z11"/>
    <mergeCell ref="AA5:AA11"/>
    <mergeCell ref="AB5:AB11"/>
    <mergeCell ref="AL5:AL11"/>
    <mergeCell ref="AM5:AM11"/>
    <mergeCell ref="AN5:AN11"/>
    <mergeCell ref="C5:C11"/>
    <mergeCell ref="D5:D11"/>
    <mergeCell ref="N5:N11"/>
    <mergeCell ref="O5:O11"/>
    <mergeCell ref="P5:P11"/>
    <mergeCell ref="BL13:BL19"/>
    <mergeCell ref="BV13:BV19"/>
    <mergeCell ref="C21:C27"/>
    <mergeCell ref="D21:D27"/>
    <mergeCell ref="N21:N27"/>
    <mergeCell ref="P21:P27"/>
    <mergeCell ref="Z21:Z27"/>
    <mergeCell ref="AB21:AB27"/>
    <mergeCell ref="AL21:AL27"/>
    <mergeCell ref="AN21:AN27"/>
    <mergeCell ref="AB13:AB19"/>
    <mergeCell ref="AL13:AL19"/>
    <mergeCell ref="AN13:AN19"/>
    <mergeCell ref="BL21:BL27"/>
    <mergeCell ref="BV21:BV27"/>
    <mergeCell ref="B29:B51"/>
    <mergeCell ref="C29:C35"/>
    <mergeCell ref="D29:D35"/>
    <mergeCell ref="N29:N35"/>
    <mergeCell ref="P29:P35"/>
    <mergeCell ref="B5:B27"/>
    <mergeCell ref="C37:C43"/>
    <mergeCell ref="D37:D43"/>
    <mergeCell ref="N37:N43"/>
    <mergeCell ref="P37:P43"/>
    <mergeCell ref="Z37:Z43"/>
    <mergeCell ref="AB37:AB43"/>
    <mergeCell ref="AL37:AL43"/>
    <mergeCell ref="Z29:Z35"/>
    <mergeCell ref="AB29:AB35"/>
    <mergeCell ref="AL29:AL35"/>
    <mergeCell ref="AN37:AN43"/>
    <mergeCell ref="AX37:AX43"/>
    <mergeCell ref="AZ37:AZ43"/>
    <mergeCell ref="BJ37:BJ43"/>
    <mergeCell ref="BL37:BL43"/>
    <mergeCell ref="BV37:BV43"/>
    <mergeCell ref="BJ29:BJ35"/>
    <mergeCell ref="BL29:BL35"/>
    <mergeCell ref="BV29:BV35"/>
    <mergeCell ref="AN29:AN35"/>
    <mergeCell ref="AX29:AX35"/>
    <mergeCell ref="AZ29:AZ35"/>
    <mergeCell ref="BV45:BV51"/>
    <mergeCell ref="B53:B75"/>
    <mergeCell ref="C53:C59"/>
    <mergeCell ref="D53:D59"/>
    <mergeCell ref="N53:N59"/>
    <mergeCell ref="P53:P59"/>
    <mergeCell ref="Z53:Z59"/>
    <mergeCell ref="AB53:AB59"/>
    <mergeCell ref="AL53:AL59"/>
    <mergeCell ref="AN53:AN59"/>
    <mergeCell ref="AL45:AL51"/>
    <mergeCell ref="AN45:AN51"/>
    <mergeCell ref="AX45:AX51"/>
    <mergeCell ref="AZ45:AZ51"/>
    <mergeCell ref="BJ45:BJ51"/>
    <mergeCell ref="BL45:BL51"/>
    <mergeCell ref="C45:C51"/>
    <mergeCell ref="D45:D51"/>
    <mergeCell ref="N45:N51"/>
    <mergeCell ref="P45:P51"/>
    <mergeCell ref="Z45:Z51"/>
    <mergeCell ref="AB45:AB51"/>
    <mergeCell ref="AX53:AX59"/>
    <mergeCell ref="AZ53:AZ59"/>
    <mergeCell ref="BJ53:BJ59"/>
    <mergeCell ref="BL53:BL59"/>
    <mergeCell ref="BV53:BV59"/>
    <mergeCell ref="C61:C67"/>
    <mergeCell ref="D61:D67"/>
    <mergeCell ref="N61:N67"/>
    <mergeCell ref="P61:P67"/>
    <mergeCell ref="Z61:Z67"/>
    <mergeCell ref="BL61:BL67"/>
    <mergeCell ref="BV61:BV67"/>
    <mergeCell ref="C69:C75"/>
    <mergeCell ref="D69:D75"/>
    <mergeCell ref="N69:N75"/>
    <mergeCell ref="P69:P75"/>
    <mergeCell ref="Z69:Z75"/>
    <mergeCell ref="AB69:AB75"/>
    <mergeCell ref="AL69:AL75"/>
    <mergeCell ref="AN69:AN75"/>
    <mergeCell ref="AB61:AB67"/>
    <mergeCell ref="AL61:AL67"/>
    <mergeCell ref="AN61:AN67"/>
    <mergeCell ref="AX61:AX67"/>
    <mergeCell ref="AZ61:AZ67"/>
    <mergeCell ref="BJ61:BJ67"/>
    <mergeCell ref="AX69:AX75"/>
    <mergeCell ref="AZ69:AZ75"/>
    <mergeCell ref="BJ69:BJ75"/>
    <mergeCell ref="BL69:BL75"/>
    <mergeCell ref="BV69:BV75"/>
    <mergeCell ref="C77:C83"/>
    <mergeCell ref="D77:D83"/>
    <mergeCell ref="N77:N83"/>
    <mergeCell ref="P77:P83"/>
    <mergeCell ref="C85:C91"/>
    <mergeCell ref="D85:D91"/>
    <mergeCell ref="N85:N91"/>
    <mergeCell ref="P85:P91"/>
    <mergeCell ref="Z85:Z91"/>
    <mergeCell ref="AB85:AB91"/>
    <mergeCell ref="AL85:AL91"/>
    <mergeCell ref="Z77:Z83"/>
    <mergeCell ref="AB77:AB83"/>
    <mergeCell ref="AL77:AL83"/>
    <mergeCell ref="AN85:AN91"/>
    <mergeCell ref="AX85:AX91"/>
    <mergeCell ref="AZ85:AZ91"/>
    <mergeCell ref="BJ85:BJ91"/>
    <mergeCell ref="BL85:BL91"/>
    <mergeCell ref="BV85:BV91"/>
    <mergeCell ref="BJ77:BJ83"/>
    <mergeCell ref="BL77:BL83"/>
    <mergeCell ref="BV77:BV83"/>
    <mergeCell ref="AN77:AN83"/>
    <mergeCell ref="AX77:AX83"/>
    <mergeCell ref="AZ77:AZ83"/>
    <mergeCell ref="BV93:BV99"/>
    <mergeCell ref="B109:B123"/>
    <mergeCell ref="C109:C115"/>
    <mergeCell ref="D109:D115"/>
    <mergeCell ref="N109:N115"/>
    <mergeCell ref="P109:P115"/>
    <mergeCell ref="Z109:Z115"/>
    <mergeCell ref="AB109:AB115"/>
    <mergeCell ref="AL109:AL115"/>
    <mergeCell ref="AN109:AN115"/>
    <mergeCell ref="AL93:AL99"/>
    <mergeCell ref="AN93:AN99"/>
    <mergeCell ref="AX93:AX99"/>
    <mergeCell ref="AZ93:AZ99"/>
    <mergeCell ref="BJ93:BJ99"/>
    <mergeCell ref="BL93:BL99"/>
    <mergeCell ref="C93:C99"/>
    <mergeCell ref="D93:D99"/>
    <mergeCell ref="N93:N99"/>
    <mergeCell ref="P93:P99"/>
    <mergeCell ref="Z93:Z99"/>
    <mergeCell ref="AB93:AB99"/>
    <mergeCell ref="AT121:AV121"/>
    <mergeCell ref="BF121:BH121"/>
    <mergeCell ref="AX109:AX115"/>
    <mergeCell ref="AZ109:AZ115"/>
    <mergeCell ref="BJ109:BJ115"/>
    <mergeCell ref="BL109:BL115"/>
    <mergeCell ref="BV109:BV115"/>
    <mergeCell ref="BV117:BV123"/>
    <mergeCell ref="AX117:AX123"/>
    <mergeCell ref="AZ117:AZ123"/>
    <mergeCell ref="BJ117:BJ123"/>
    <mergeCell ref="AH121:AJ121"/>
    <mergeCell ref="C117:C123"/>
    <mergeCell ref="D117:D123"/>
    <mergeCell ref="N117:N123"/>
    <mergeCell ref="P117:P123"/>
    <mergeCell ref="Z117:Z123"/>
    <mergeCell ref="BR121:BT121"/>
    <mergeCell ref="J122:L122"/>
    <mergeCell ref="V122:X122"/>
    <mergeCell ref="AH122:AJ122"/>
    <mergeCell ref="AT122:AV122"/>
    <mergeCell ref="BF122:BH122"/>
    <mergeCell ref="BR122:BT122"/>
    <mergeCell ref="BL117:BL123"/>
    <mergeCell ref="J119:L119"/>
    <mergeCell ref="V119:X119"/>
    <mergeCell ref="AH119:AJ119"/>
    <mergeCell ref="AT119:AV119"/>
    <mergeCell ref="BF119:BH119"/>
    <mergeCell ref="BR119:BT119"/>
    <mergeCell ref="J121:L121"/>
    <mergeCell ref="V121:X121"/>
    <mergeCell ref="AB117:AB123"/>
    <mergeCell ref="AL117:AL123"/>
    <mergeCell ref="AN117:AN123"/>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281FF-E23D-A14C-B46B-4515C5A5CCF5}">
  <sheetPr>
    <tabColor rgb="FFFF0000"/>
    <pageSetUpPr fitToPage="1"/>
  </sheetPr>
  <dimension ref="B1:BN57"/>
  <sheetViews>
    <sheetView zoomScale="132" zoomScaleNormal="160" zoomScalePageLayoutView="150" workbookViewId="0">
      <pane xSplit="3" ySplit="9" topLeftCell="D10" activePane="bottomRight" state="frozen"/>
      <selection pane="topRight" activeCell="C1" sqref="C1"/>
      <selection pane="bottomLeft" activeCell="A10" sqref="A10"/>
      <selection pane="bottomRight" activeCell="C5" sqref="C5"/>
    </sheetView>
  </sheetViews>
  <sheetFormatPr baseColWidth="10" defaultRowHeight="13" x14ac:dyDescent="0.15"/>
  <cols>
    <col min="1" max="2" width="1.5" style="149" customWidth="1"/>
    <col min="3" max="3" width="56.33203125" style="149" bestFit="1" customWidth="1"/>
    <col min="4" max="4" width="1" style="149" customWidth="1"/>
    <col min="5" max="5" width="14.6640625" style="149" customWidth="1"/>
    <col min="6" max="6" width="9.1640625" style="149" customWidth="1"/>
    <col min="7" max="7" width="1" style="149" customWidth="1"/>
    <col min="8" max="8" width="14.6640625" style="149" customWidth="1"/>
    <col min="9" max="9" width="9.1640625" style="149" customWidth="1"/>
    <col min="10" max="10" width="0.83203125" style="149" customWidth="1"/>
    <col min="11" max="11" width="14.6640625" style="149" customWidth="1"/>
    <col min="12" max="12" width="9.1640625" style="149" customWidth="1"/>
    <col min="13" max="13" width="0.83203125" style="149" customWidth="1"/>
    <col min="14" max="14" width="14.6640625" style="149" customWidth="1"/>
    <col min="15" max="15" width="9.1640625" style="149" customWidth="1"/>
    <col min="16" max="16" width="0.83203125" style="149" customWidth="1"/>
    <col min="17" max="17" width="14.6640625" style="149" customWidth="1"/>
    <col min="18" max="18" width="9.1640625" style="149" customWidth="1"/>
    <col min="19" max="19" width="0.83203125" style="149" customWidth="1"/>
    <col min="20" max="20" width="14.6640625" style="149" customWidth="1"/>
    <col min="21" max="21" width="9.1640625" style="149" customWidth="1"/>
    <col min="22" max="22" width="1.6640625" style="149" customWidth="1"/>
    <col min="23" max="23" width="12.5" style="149" customWidth="1"/>
    <col min="24" max="24" width="9.6640625" style="149" customWidth="1"/>
    <col min="25" max="25" width="0.83203125" style="149" customWidth="1"/>
    <col min="26" max="26" width="14.6640625" style="149" customWidth="1"/>
    <col min="27" max="27" width="9.1640625" style="149" customWidth="1"/>
    <col min="28" max="28" width="0.83203125" style="149" customWidth="1"/>
    <col min="29" max="29" width="14.6640625" style="149" customWidth="1"/>
    <col min="30" max="30" width="9.1640625" style="149" customWidth="1"/>
    <col min="31" max="31" width="0.83203125" style="149" customWidth="1"/>
    <col min="32" max="32" width="14.6640625" style="149" customWidth="1"/>
    <col min="33" max="33" width="9.1640625" style="149" customWidth="1"/>
    <col min="34" max="34" width="0.83203125" style="149" customWidth="1"/>
    <col min="35" max="35" width="14.6640625" style="149" customWidth="1"/>
    <col min="36" max="36" width="9.1640625" style="149" customWidth="1"/>
    <col min="37" max="37" width="0.83203125" style="149" customWidth="1"/>
    <col min="38" max="38" width="14.6640625" style="149" customWidth="1"/>
    <col min="39" max="39" width="9.1640625" style="149" customWidth="1"/>
    <col min="40" max="40" width="0.83203125" style="149" customWidth="1"/>
    <col min="41" max="41" width="15.5" style="149" bestFit="1" customWidth="1"/>
    <col min="42" max="42" width="9.5" style="149" bestFit="1" customWidth="1"/>
    <col min="43" max="43" width="1.1640625" style="149" customWidth="1"/>
    <col min="44" max="44" width="14.6640625" style="149" customWidth="1"/>
    <col min="45" max="45" width="9.1640625" style="149" customWidth="1"/>
    <col min="46" max="46" width="3.1640625" style="149" customWidth="1"/>
    <col min="47" max="48" width="14.6640625" style="149" customWidth="1"/>
    <col min="49" max="49" width="0.83203125" style="149" customWidth="1"/>
    <col min="50" max="50" width="14.6640625" style="149" customWidth="1"/>
    <col min="51" max="51" width="2.1640625" style="149" customWidth="1"/>
    <col min="52" max="52" width="10.33203125" style="149" bestFit="1" customWidth="1"/>
    <col min="53" max="54" width="16.83203125" style="149" customWidth="1"/>
    <col min="55" max="55" width="2.33203125" style="149" customWidth="1"/>
    <col min="56" max="56" width="8.5" style="149" bestFit="1" customWidth="1"/>
    <col min="57" max="57" width="19.1640625" style="149" bestFit="1" customWidth="1"/>
    <col min="58" max="58" width="2.5" style="149" bestFit="1" customWidth="1"/>
    <col min="59" max="59" width="26.83203125" style="149" bestFit="1" customWidth="1"/>
    <col min="60" max="60" width="2.33203125" style="149" bestFit="1" customWidth="1"/>
    <col min="61" max="61" width="2" style="149" bestFit="1" customWidth="1"/>
    <col min="62" max="62" width="10.83203125" style="149"/>
    <col min="63" max="63" width="2.33203125" style="149" bestFit="1" customWidth="1"/>
    <col min="64" max="64" width="10.83203125" style="149"/>
    <col min="65" max="65" width="2" style="149" bestFit="1" customWidth="1"/>
    <col min="66" max="66" width="8.5" style="149" bestFit="1" customWidth="1"/>
    <col min="67" max="16384" width="10.83203125" style="149"/>
  </cols>
  <sheetData>
    <row r="1" spans="2:66" ht="14" thickBot="1" x14ac:dyDescent="0.2"/>
    <row r="2" spans="2:66" ht="20" customHeight="1" thickTop="1" x14ac:dyDescent="0.2">
      <c r="C2" s="501" t="s">
        <v>36</v>
      </c>
      <c r="E2" s="149" t="s">
        <v>1</v>
      </c>
      <c r="F2" s="149" t="s">
        <v>1</v>
      </c>
      <c r="AL2" s="149" t="s">
        <v>1</v>
      </c>
      <c r="AU2" s="699" t="s">
        <v>142</v>
      </c>
      <c r="AV2" s="700"/>
      <c r="BD2" s="705" t="s">
        <v>49</v>
      </c>
      <c r="BE2" s="333"/>
      <c r="BF2" s="333"/>
      <c r="BG2" s="333"/>
      <c r="BH2" s="333"/>
      <c r="BI2" s="333"/>
      <c r="BJ2" s="333"/>
      <c r="BK2" s="333"/>
      <c r="BL2" s="333"/>
      <c r="BM2" s="333"/>
      <c r="BN2" s="708" t="s">
        <v>50</v>
      </c>
    </row>
    <row r="3" spans="2:66" ht="20" customHeight="1" x14ac:dyDescent="0.2">
      <c r="C3" s="502" t="s">
        <v>143</v>
      </c>
      <c r="E3" s="149" t="s">
        <v>1</v>
      </c>
      <c r="AL3" s="149" t="s">
        <v>1</v>
      </c>
      <c r="AU3" s="701"/>
      <c r="AV3" s="702"/>
      <c r="BD3" s="706"/>
      <c r="BE3" s="334"/>
      <c r="BF3" s="334"/>
      <c r="BG3" s="334"/>
      <c r="BH3" s="334"/>
      <c r="BI3" s="334"/>
      <c r="BJ3" s="334"/>
      <c r="BK3" s="334"/>
      <c r="BL3" s="334"/>
      <c r="BM3" s="334"/>
      <c r="BN3" s="709"/>
    </row>
    <row r="4" spans="2:66" ht="20" customHeight="1" thickBot="1" x14ac:dyDescent="0.3">
      <c r="C4" s="503" t="s">
        <v>197</v>
      </c>
      <c r="AU4" s="703"/>
      <c r="AV4" s="704"/>
      <c r="BD4" s="706"/>
      <c r="BE4" s="335" t="str">
        <f>'[1]Formule pour le calcul D'!BM103</f>
        <v>Bénéfice annuel</v>
      </c>
      <c r="BF4" s="335" t="s">
        <v>52</v>
      </c>
      <c r="BG4" s="335" t="str">
        <f>'[1]Formule pour le calcul D'!BO103</f>
        <v>Achalandage annuelle</v>
      </c>
      <c r="BH4" s="335" t="s">
        <v>54</v>
      </c>
      <c r="BI4" s="335" t="s">
        <v>55</v>
      </c>
      <c r="BJ4" s="335" t="str">
        <f>'[1]Formule pour le calcul D'!BR103</f>
        <v>Um/A</v>
      </c>
      <c r="BK4" s="335" t="s">
        <v>54</v>
      </c>
      <c r="BL4" s="335" t="str">
        <f>'[1]Formule pour le calcul D'!BT103</f>
        <v>BmO</v>
      </c>
      <c r="BM4" s="335" t="s">
        <v>58</v>
      </c>
      <c r="BN4" s="709"/>
    </row>
    <row r="5" spans="2:66" ht="21" thickTop="1" thickBot="1" x14ac:dyDescent="0.3">
      <c r="C5" s="336"/>
      <c r="G5" s="149" t="s">
        <v>1</v>
      </c>
      <c r="BD5" s="706"/>
      <c r="BE5" s="337" t="s">
        <v>1</v>
      </c>
      <c r="BF5" s="195"/>
      <c r="BG5" s="337"/>
      <c r="BH5" s="195"/>
      <c r="BI5" s="195"/>
      <c r="BJ5" s="195"/>
      <c r="BK5" s="195"/>
      <c r="BL5" s="195"/>
      <c r="BM5" s="195"/>
      <c r="BN5" s="709"/>
    </row>
    <row r="6" spans="2:66" ht="27" thickTop="1" x14ac:dyDescent="0.3">
      <c r="C6" s="504" t="s">
        <v>26</v>
      </c>
      <c r="D6" s="149" t="s">
        <v>1</v>
      </c>
      <c r="E6" s="340" t="s">
        <v>144</v>
      </c>
      <c r="F6" s="341">
        <f>E14/C7/'Achalandage journalier'!D8</f>
        <v>4.33</v>
      </c>
      <c r="G6" s="338" t="s">
        <v>1</v>
      </c>
      <c r="H6" s="340" t="str">
        <f>E6</f>
        <v>Rev. / place / jour</v>
      </c>
      <c r="I6" s="341">
        <f>H14/C7/'Achalandage journalier'!E8</f>
        <v>4.33</v>
      </c>
      <c r="J6" s="338"/>
      <c r="K6" s="340" t="str">
        <f>H6</f>
        <v>Rev. / place / jour</v>
      </c>
      <c r="L6" s="341">
        <f>K14/C7/'Achalandage journalier'!F8</f>
        <v>4.33</v>
      </c>
      <c r="M6" s="338"/>
      <c r="N6" s="511" t="str">
        <f>K6</f>
        <v>Rev. / place / jour</v>
      </c>
      <c r="O6" s="341">
        <f>N14/C7/'Achalandage journalier'!G8</f>
        <v>4.33</v>
      </c>
      <c r="P6" s="339"/>
      <c r="Q6" s="340" t="str">
        <f>N6</f>
        <v>Rev. / place / jour</v>
      </c>
      <c r="R6" s="341">
        <f>Q14/C7/'Achalandage journalier'!H8</f>
        <v>4.33</v>
      </c>
      <c r="S6" s="338"/>
      <c r="T6" s="340" t="str">
        <f>Q6</f>
        <v>Rev. / place / jour</v>
      </c>
      <c r="U6" s="341">
        <f>T14/C7/'Achalandage journalier'!I8</f>
        <v>4.33</v>
      </c>
      <c r="V6" s="338" t="s">
        <v>1</v>
      </c>
      <c r="W6" s="340" t="str">
        <f>T6</f>
        <v>Rev. / place / jour</v>
      </c>
      <c r="X6" s="341">
        <f>W14/C7/'Achalandage journalier'!J8</f>
        <v>4.33</v>
      </c>
      <c r="Y6" s="338"/>
      <c r="Z6" s="340" t="str">
        <f>W6</f>
        <v>Rev. / place / jour</v>
      </c>
      <c r="AA6" s="341">
        <f>Z14/C7/'Achalandage journalier'!K8</f>
        <v>4.33</v>
      </c>
      <c r="AB6" s="338"/>
      <c r="AC6" s="340" t="str">
        <f>Z6</f>
        <v>Rev. / place / jour</v>
      </c>
      <c r="AD6" s="341">
        <f>AC14/C7/'Achalandage journalier'!L8</f>
        <v>4.33</v>
      </c>
      <c r="AE6" s="338"/>
      <c r="AF6" s="340" t="str">
        <f>AC6</f>
        <v>Rev. / place / jour</v>
      </c>
      <c r="AG6" s="341">
        <f>AF14/C7/'Achalandage journalier'!M8</f>
        <v>4.33</v>
      </c>
      <c r="AH6" s="338"/>
      <c r="AI6" s="340" t="str">
        <f>AF6</f>
        <v>Rev. / place / jour</v>
      </c>
      <c r="AJ6" s="341">
        <f>AI14/C7/'Achalandage journalier'!N8</f>
        <v>4.33</v>
      </c>
      <c r="AK6" s="338"/>
      <c r="AL6" s="340" t="str">
        <f>AI6</f>
        <v>Rev. / place / jour</v>
      </c>
      <c r="AM6" s="341">
        <f>AL14/C7/'Achalandage journalier'!O8</f>
        <v>4.33</v>
      </c>
      <c r="AN6" s="338"/>
      <c r="AO6" s="340" t="str">
        <f>AL6</f>
        <v>Rev. / place / jour</v>
      </c>
      <c r="AP6" s="341">
        <f>AO14/C7/'Achalandage journalier'!P8</f>
        <v>4.33</v>
      </c>
      <c r="AQ6" s="338"/>
      <c r="AR6" s="340" t="str">
        <f>AL6</f>
        <v>Rev. / place / jour</v>
      </c>
      <c r="AS6" s="341">
        <f>AR14/C7/'Achalandage journalier'!Q8</f>
        <v>4.330000000000001</v>
      </c>
      <c r="AT6" s="338"/>
      <c r="AU6" s="340" t="str">
        <f>+AR6</f>
        <v>Rev. / place / jour</v>
      </c>
      <c r="AV6" s="341">
        <f>AU14/C7/'Achalandage journalier'!Q8</f>
        <v>51.2708614599686</v>
      </c>
      <c r="AW6" s="338"/>
      <c r="AX6" s="338"/>
      <c r="AY6" s="338"/>
      <c r="AZ6"/>
      <c r="BA6" s="711" t="s">
        <v>157</v>
      </c>
      <c r="BB6" s="712"/>
      <c r="BD6" s="706"/>
      <c r="BE6" s="342" t="str">
        <f>'[1]Formule pour le calcul D'!BM105</f>
        <v xml:space="preserve">B </v>
      </c>
      <c r="BF6" s="343"/>
      <c r="BG6" s="342" t="str">
        <f>'[1]Formule pour le calcul D'!BO105</f>
        <v>A</v>
      </c>
      <c r="BH6" s="343"/>
      <c r="BI6" s="343"/>
      <c r="BJ6" s="342" t="str">
        <f>BJ4</f>
        <v>Um/A</v>
      </c>
      <c r="BK6" s="343"/>
      <c r="BL6" s="342" t="str">
        <f>BL4</f>
        <v>BmO</v>
      </c>
      <c r="BM6" s="343"/>
      <c r="BN6" s="709"/>
    </row>
    <row r="7" spans="2:66" ht="21" x14ac:dyDescent="0.25">
      <c r="C7" s="505">
        <f>'Achalandage journalier'!D7</f>
        <v>28</v>
      </c>
      <c r="D7" s="149" t="s">
        <v>1</v>
      </c>
      <c r="E7" s="346">
        <f>E14/$AR$14</f>
        <v>7.6923076923076913E-2</v>
      </c>
      <c r="F7" s="508"/>
      <c r="G7" s="344" t="s">
        <v>1</v>
      </c>
      <c r="H7" s="346">
        <f>H14/$AR$14</f>
        <v>7.6923076923076913E-2</v>
      </c>
      <c r="I7" s="508"/>
      <c r="J7" s="344"/>
      <c r="K7" s="346">
        <f>K14/$AR$14</f>
        <v>7.6923076923076913E-2</v>
      </c>
      <c r="L7" s="508"/>
      <c r="M7" s="344"/>
      <c r="N7" s="512">
        <f>N14/$AR$14</f>
        <v>7.6923076923076913E-2</v>
      </c>
      <c r="O7" s="513"/>
      <c r="P7" s="345"/>
      <c r="Q7" s="346">
        <f>Q14/$AR$14</f>
        <v>7.6923076923076913E-2</v>
      </c>
      <c r="R7" s="508"/>
      <c r="S7" s="344"/>
      <c r="T7" s="346">
        <f>T14/$AR$14</f>
        <v>7.6923076923076913E-2</v>
      </c>
      <c r="U7" s="508"/>
      <c r="V7" s="344"/>
      <c r="W7" s="346">
        <f>W14/$AR$14</f>
        <v>7.6923076923076913E-2</v>
      </c>
      <c r="X7" s="508"/>
      <c r="Y7" s="344"/>
      <c r="Z7" s="346">
        <f>Z14/$AR$14</f>
        <v>7.6923076923076913E-2</v>
      </c>
      <c r="AA7" s="508"/>
      <c r="AB7" s="344"/>
      <c r="AC7" s="346">
        <f>AC14/$AR$14</f>
        <v>7.6923076923076913E-2</v>
      </c>
      <c r="AD7" s="508"/>
      <c r="AE7" s="344"/>
      <c r="AF7" s="346">
        <f>AF14/$AR$14</f>
        <v>7.6923076923076913E-2</v>
      </c>
      <c r="AG7" s="508"/>
      <c r="AH7" s="344"/>
      <c r="AI7" s="346">
        <f>AI14/$AR$14</f>
        <v>7.6923076923076913E-2</v>
      </c>
      <c r="AJ7" s="508"/>
      <c r="AK7" s="344"/>
      <c r="AL7" s="346">
        <f>AL14/$AR$14</f>
        <v>7.6923076923076913E-2</v>
      </c>
      <c r="AM7" s="508"/>
      <c r="AN7" s="338"/>
      <c r="AO7" s="346">
        <f>AO14/$AR$14</f>
        <v>7.6923076923076913E-2</v>
      </c>
      <c r="AP7" s="508"/>
      <c r="AQ7" s="338"/>
      <c r="AR7" s="346">
        <f>+E7+H7+K7+N7+Q7+T7+W7+Z7+AC7+AF7+AI7+AL7+AO7</f>
        <v>0.99999999999999967</v>
      </c>
      <c r="AS7" s="347" t="s">
        <v>156</v>
      </c>
      <c r="AT7" s="338"/>
      <c r="AU7" s="346" t="s">
        <v>1</v>
      </c>
      <c r="AV7" s="347" t="str">
        <f>+AS7</f>
        <v>364 jours</v>
      </c>
      <c r="AW7" s="338"/>
      <c r="AX7" s="338"/>
      <c r="AY7" s="338"/>
      <c r="AZ7"/>
      <c r="BA7" s="713" t="s">
        <v>158</v>
      </c>
      <c r="BB7" s="714"/>
      <c r="BD7" s="706"/>
      <c r="BE7" s="348">
        <f>'Formule pour le calcul D'!BM114</f>
        <v>44131.360000000008</v>
      </c>
      <c r="BF7" s="335" t="s">
        <v>52</v>
      </c>
      <c r="BG7" s="349">
        <f>'% Occupation'!Q19</f>
        <v>2548</v>
      </c>
      <c r="BH7" s="335" t="s">
        <v>54</v>
      </c>
      <c r="BI7" s="335" t="s">
        <v>55</v>
      </c>
      <c r="BJ7" s="350">
        <f>'Formule pour le calcul D'!BR114</f>
        <v>2.1</v>
      </c>
      <c r="BK7" s="335" t="s">
        <v>54</v>
      </c>
      <c r="BL7" s="348">
        <f>BE7/BG7/BJ7</f>
        <v>8.2476190476190485</v>
      </c>
      <c r="BM7" s="335" t="s">
        <v>58</v>
      </c>
      <c r="BN7" s="709"/>
    </row>
    <row r="8" spans="2:66" ht="17" thickBot="1" x14ac:dyDescent="0.25">
      <c r="C8" s="506" t="s">
        <v>145</v>
      </c>
      <c r="D8" s="149" t="s">
        <v>1</v>
      </c>
      <c r="E8" s="509" t="str">
        <f>'Achalandage journalier'!D5</f>
        <v>Pér.01</v>
      </c>
      <c r="F8" s="510" t="s">
        <v>146</v>
      </c>
      <c r="G8" s="351" t="s">
        <v>1</v>
      </c>
      <c r="H8" s="509" t="str">
        <f>'Achalandage journalier'!E5</f>
        <v>Pér.02</v>
      </c>
      <c r="I8" s="353" t="str">
        <f>+F8</f>
        <v>(%)</v>
      </c>
      <c r="J8" s="351"/>
      <c r="K8" s="509" t="str">
        <f>'Achalandage journalier'!F5</f>
        <v>Pér.03</v>
      </c>
      <c r="L8" s="353" t="str">
        <f>+I8</f>
        <v>(%)</v>
      </c>
      <c r="M8" s="351"/>
      <c r="N8" s="509" t="str">
        <f>'Achalandage journalier'!G5</f>
        <v>Pér.04</v>
      </c>
      <c r="O8" s="353" t="str">
        <f>+L8</f>
        <v>(%)</v>
      </c>
      <c r="P8" s="352"/>
      <c r="Q8" s="509" t="str">
        <f>'Achalandage journalier'!H5</f>
        <v>Pér.05</v>
      </c>
      <c r="R8" s="353" t="str">
        <f>+O8</f>
        <v>(%)</v>
      </c>
      <c r="S8" s="351"/>
      <c r="T8" s="509" t="str">
        <f>'Achalandage journalier'!I5</f>
        <v>Pér.06</v>
      </c>
      <c r="U8" s="353" t="str">
        <f>+R8</f>
        <v>(%)</v>
      </c>
      <c r="V8" s="351"/>
      <c r="W8" s="509" t="str">
        <f>'Achalandage journalier'!J5</f>
        <v>Pér.07</v>
      </c>
      <c r="X8" s="353" t="str">
        <f>+U8</f>
        <v>(%)</v>
      </c>
      <c r="Y8" s="351"/>
      <c r="Z8" s="509" t="str">
        <f>'Achalandage journalier'!K5</f>
        <v>Pér.08</v>
      </c>
      <c r="AA8" s="353" t="str">
        <f>+X8</f>
        <v>(%)</v>
      </c>
      <c r="AB8" s="351"/>
      <c r="AC8" s="509" t="str">
        <f>'Achalandage journalier'!L5</f>
        <v>Pér.09</v>
      </c>
      <c r="AD8" s="353" t="str">
        <f>+AA8</f>
        <v>(%)</v>
      </c>
      <c r="AE8" s="351"/>
      <c r="AF8" s="509" t="str">
        <f>'Achalandage journalier'!M5</f>
        <v>Pér.10</v>
      </c>
      <c r="AG8" s="353" t="str">
        <f>+AD8</f>
        <v>(%)</v>
      </c>
      <c r="AH8" s="351"/>
      <c r="AI8" s="509" t="str">
        <f>'Achalandage journalier'!N5</f>
        <v>Pér.11</v>
      </c>
      <c r="AJ8" s="353" t="str">
        <f>+AG8</f>
        <v>(%)</v>
      </c>
      <c r="AK8" s="351"/>
      <c r="AL8" s="509" t="str">
        <f>'Achalandage journalier'!O5</f>
        <v>Pér.12</v>
      </c>
      <c r="AM8" s="353" t="str">
        <f>+AJ8</f>
        <v>(%)</v>
      </c>
      <c r="AN8" s="351"/>
      <c r="AO8" s="509" t="str">
        <f>'Achalandage journalier'!P5</f>
        <v>Pér.13</v>
      </c>
      <c r="AP8" s="353" t="str">
        <f>+AM8</f>
        <v>(%)</v>
      </c>
      <c r="AQ8" s="351"/>
      <c r="AR8" s="346" t="s">
        <v>9</v>
      </c>
      <c r="AS8" s="353" t="str">
        <f>+AM8</f>
        <v>(%)</v>
      </c>
      <c r="AU8" s="346" t="str">
        <f>+AR8</f>
        <v>Total</v>
      </c>
      <c r="AV8" s="353" t="str">
        <f>+AS8</f>
        <v>(%)</v>
      </c>
      <c r="AZ8"/>
      <c r="BA8" s="715"/>
      <c r="BB8" s="716"/>
      <c r="BD8" s="707"/>
      <c r="BE8" s="354"/>
      <c r="BF8" s="354"/>
      <c r="BG8" s="354"/>
      <c r="BH8" s="354"/>
      <c r="BI8" s="354"/>
      <c r="BJ8" s="354"/>
      <c r="BK8" s="354"/>
      <c r="BL8" s="354"/>
      <c r="BM8" s="354"/>
      <c r="BN8" s="710"/>
    </row>
    <row r="9" spans="2:66" ht="20" thickTop="1" thickBot="1" x14ac:dyDescent="0.2">
      <c r="C9" s="507">
        <f>+AR14/C7</f>
        <v>1576.1200000000003</v>
      </c>
      <c r="D9" s="149" t="s">
        <v>1</v>
      </c>
      <c r="E9" s="525">
        <f>'Achalandage journalier'!D6</f>
        <v>44928</v>
      </c>
      <c r="F9" s="526" t="s">
        <v>1</v>
      </c>
      <c r="G9" s="527" t="s">
        <v>1</v>
      </c>
      <c r="H9" s="525">
        <f>'Achalandage journalier'!E6</f>
        <v>44956</v>
      </c>
      <c r="I9" s="526" t="str">
        <f>+F9</f>
        <v xml:space="preserve"> </v>
      </c>
      <c r="J9" s="528"/>
      <c r="K9" s="525">
        <f>'Achalandage journalier'!F6</f>
        <v>44984</v>
      </c>
      <c r="L9" s="526" t="str">
        <f>+I9</f>
        <v xml:space="preserve"> </v>
      </c>
      <c r="M9" s="527"/>
      <c r="N9" s="525">
        <f>'Achalandage journalier'!G6</f>
        <v>45012</v>
      </c>
      <c r="O9" s="529" t="str">
        <f>+L9</f>
        <v xml:space="preserve"> </v>
      </c>
      <c r="P9" s="530"/>
      <c r="Q9" s="525">
        <f>'Achalandage journalier'!H6</f>
        <v>45040</v>
      </c>
      <c r="R9" s="526" t="str">
        <f>+O9</f>
        <v xml:space="preserve"> </v>
      </c>
      <c r="S9" s="527"/>
      <c r="T9" s="525">
        <f>'Achalandage journalier'!I6</f>
        <v>45068</v>
      </c>
      <c r="U9" s="526" t="str">
        <f>+R9</f>
        <v xml:space="preserve"> </v>
      </c>
      <c r="V9" s="527"/>
      <c r="W9" s="525">
        <f>'Achalandage journalier'!J6</f>
        <v>45096</v>
      </c>
      <c r="X9" s="526" t="str">
        <f>+U9</f>
        <v xml:space="preserve"> </v>
      </c>
      <c r="Y9" s="527"/>
      <c r="Z9" s="525">
        <f>'Achalandage journalier'!K6</f>
        <v>45124</v>
      </c>
      <c r="AA9" s="526" t="str">
        <f>+X9</f>
        <v xml:space="preserve"> </v>
      </c>
      <c r="AB9" s="527"/>
      <c r="AC9" s="525">
        <f>'Achalandage journalier'!L6</f>
        <v>45152</v>
      </c>
      <c r="AD9" s="526" t="str">
        <f>+AA9</f>
        <v xml:space="preserve"> </v>
      </c>
      <c r="AE9" s="527"/>
      <c r="AF9" s="525">
        <f>'Achalandage journalier'!M6</f>
        <v>45180</v>
      </c>
      <c r="AG9" s="526" t="str">
        <f>+AD9</f>
        <v xml:space="preserve"> </v>
      </c>
      <c r="AH9" s="527"/>
      <c r="AI9" s="525">
        <f>'Achalandage journalier'!N6</f>
        <v>45208</v>
      </c>
      <c r="AJ9" s="526" t="str">
        <f>+AG9</f>
        <v xml:space="preserve"> </v>
      </c>
      <c r="AK9" s="527"/>
      <c r="AL9" s="525">
        <f>'Achalandage journalier'!O6</f>
        <v>45236</v>
      </c>
      <c r="AM9" s="526" t="str">
        <f>+AJ9</f>
        <v xml:space="preserve"> </v>
      </c>
      <c r="AN9" s="527"/>
      <c r="AO9" s="525">
        <f>'Achalandage journalier'!P6</f>
        <v>45264</v>
      </c>
      <c r="AP9" s="526" t="str">
        <f>+AM9</f>
        <v xml:space="preserve"> </v>
      </c>
      <c r="AQ9" s="355"/>
      <c r="AR9" s="356" t="s">
        <v>37</v>
      </c>
      <c r="AS9" s="357" t="str">
        <f>+AM9</f>
        <v xml:space="preserve"> </v>
      </c>
      <c r="AU9" s="356" t="str">
        <f>+AR9</f>
        <v>Année</v>
      </c>
      <c r="AV9" s="357" t="s">
        <v>1</v>
      </c>
      <c r="AZ9"/>
      <c r="BA9" s="375"/>
      <c r="BB9" s="375"/>
    </row>
    <row r="10" spans="2:66" ht="17" thickTop="1" x14ac:dyDescent="0.2">
      <c r="C10" s="358" t="s">
        <v>147</v>
      </c>
      <c r="D10" s="149" t="s">
        <v>1</v>
      </c>
      <c r="E10" s="359"/>
      <c r="F10" s="360"/>
      <c r="G10" s="149" t="s">
        <v>1</v>
      </c>
      <c r="H10" s="359"/>
      <c r="I10" s="360"/>
      <c r="K10" s="359"/>
      <c r="L10" s="360"/>
      <c r="N10" s="359"/>
      <c r="O10" s="360"/>
      <c r="P10" s="361"/>
      <c r="Q10" s="359"/>
      <c r="R10" s="360"/>
      <c r="T10" s="359"/>
      <c r="U10" s="360"/>
      <c r="W10" s="359"/>
      <c r="X10" s="360"/>
      <c r="Z10" s="359"/>
      <c r="AA10" s="360"/>
      <c r="AC10" s="359"/>
      <c r="AD10" s="360"/>
      <c r="AF10" s="359"/>
      <c r="AG10" s="360"/>
      <c r="AI10" s="359"/>
      <c r="AJ10" s="360"/>
      <c r="AL10" s="359"/>
      <c r="AM10" s="360"/>
      <c r="AO10" s="359"/>
      <c r="AP10" s="360"/>
      <c r="AR10" s="517"/>
      <c r="AS10" s="518"/>
      <c r="AU10" s="514"/>
      <c r="AV10" s="515"/>
      <c r="AZ10" s="376" t="s">
        <v>23</v>
      </c>
      <c r="BA10" s="519">
        <v>458566</v>
      </c>
      <c r="BB10" s="520">
        <f>+BA10/BA22</f>
        <v>6.7607850699710578E-2</v>
      </c>
    </row>
    <row r="11" spans="2:66" ht="16" x14ac:dyDescent="0.2">
      <c r="C11" s="362" t="s">
        <v>148</v>
      </c>
      <c r="E11" s="363">
        <f>'Formule pour le calcul D'!Q10</f>
        <v>944.06666666666683</v>
      </c>
      <c r="F11" s="360">
        <f>+E11/$E$14</f>
        <v>0.27809853733641265</v>
      </c>
      <c r="G11" s="364" t="s">
        <v>1</v>
      </c>
      <c r="H11" s="363">
        <f>'Formule pour le calcul D'!Q18</f>
        <v>944.06666666666683</v>
      </c>
      <c r="I11" s="360">
        <f>+H11/$H$14</f>
        <v>0.27809853733641265</v>
      </c>
      <c r="K11" s="363">
        <f>'Formule pour le calcul D'!Q26</f>
        <v>944.06666666666683</v>
      </c>
      <c r="L11" s="360">
        <f>+K11/K14</f>
        <v>0.27809853733641265</v>
      </c>
      <c r="N11" s="363">
        <f>'Formule pour le calcul D'!Q34</f>
        <v>944.06666666666683</v>
      </c>
      <c r="O11" s="360">
        <f>+N11/N14</f>
        <v>0.27809853733641265</v>
      </c>
      <c r="P11" s="361"/>
      <c r="Q11" s="363">
        <f>'Formule pour le calcul D'!Q42</f>
        <v>944.06666666666683</v>
      </c>
      <c r="R11" s="360">
        <f>+Q11/Q14</f>
        <v>0.27809853733641265</v>
      </c>
      <c r="T11" s="363">
        <f>'Formule pour le calcul D'!Q50</f>
        <v>944.06666666666683</v>
      </c>
      <c r="U11" s="360">
        <f>+T11/T14</f>
        <v>0.27809853733641265</v>
      </c>
      <c r="W11" s="363">
        <f>'Formule pour le calcul D'!Q58</f>
        <v>944.06666666666683</v>
      </c>
      <c r="X11" s="360">
        <f>+W11/W14</f>
        <v>0.27809853733641265</v>
      </c>
      <c r="Z11" s="363">
        <f>'Formule pour le calcul D'!Q66</f>
        <v>944.06666666666683</v>
      </c>
      <c r="AA11" s="360">
        <f>+Z11/Z14</f>
        <v>0.27809853733641265</v>
      </c>
      <c r="AC11" s="363">
        <f>'Formule pour le calcul D'!Q74</f>
        <v>944.06666666666683</v>
      </c>
      <c r="AD11" s="360">
        <f>+AC11/AC14</f>
        <v>0.27809853733641265</v>
      </c>
      <c r="AF11" s="363">
        <f>'Formule pour le calcul D'!Q82</f>
        <v>944.06666666666683</v>
      </c>
      <c r="AG11" s="360">
        <f>+AF11/AF14</f>
        <v>0.27809853733641265</v>
      </c>
      <c r="AI11" s="363">
        <f>'Formule pour le calcul D'!Q90</f>
        <v>944.06666666666683</v>
      </c>
      <c r="AJ11" s="360">
        <f>+AI11/AI14</f>
        <v>0.27809853733641265</v>
      </c>
      <c r="AK11" s="149" t="s">
        <v>149</v>
      </c>
      <c r="AL11" s="363">
        <f>'Formule pour le calcul D'!Q98</f>
        <v>944.06666666666683</v>
      </c>
      <c r="AM11" s="360">
        <f>+AL11/AL14</f>
        <v>0.27809853733641265</v>
      </c>
      <c r="AO11" s="363">
        <f>'Formule pour le calcul D'!Q106</f>
        <v>944.06666666666683</v>
      </c>
      <c r="AP11" s="360">
        <f>+AO11/AO14</f>
        <v>0.27809853733641265</v>
      </c>
      <c r="AR11" s="531">
        <f>'Formule pour le calcul D'!Q114</f>
        <v>12272.86666666667</v>
      </c>
      <c r="AS11" s="532">
        <f>+AR11/AR14</f>
        <v>0.27809853733641265</v>
      </c>
      <c r="AU11" s="533">
        <f>+AV11*AX14</f>
        <v>421699.96434000001</v>
      </c>
      <c r="AV11" s="534">
        <v>0.80700000000000005</v>
      </c>
      <c r="AY11" s="149" t="s">
        <v>1</v>
      </c>
      <c r="AZ11" s="376" t="s">
        <v>15</v>
      </c>
      <c r="BA11" s="521">
        <v>463124</v>
      </c>
      <c r="BB11" s="522">
        <f>+BA11/BA22</f>
        <v>6.8279851204521833E-2</v>
      </c>
    </row>
    <row r="12" spans="2:66" ht="16" x14ac:dyDescent="0.2">
      <c r="C12" s="362" t="s">
        <v>150</v>
      </c>
      <c r="E12" s="363">
        <f>'Formule pour le calcul D'!AC10</f>
        <v>1868.5333333333333</v>
      </c>
      <c r="F12" s="360">
        <f t="shared" ref="F12:F13" si="0">+E12/$E$14</f>
        <v>0.55042340261739797</v>
      </c>
      <c r="H12" s="363">
        <f>'Formule pour le calcul D'!AC18</f>
        <v>1868.5333333333333</v>
      </c>
      <c r="I12" s="360">
        <f>+H12/H14</f>
        <v>0.55042340261739797</v>
      </c>
      <c r="K12" s="363">
        <f>'Formule pour le calcul D'!AC26</f>
        <v>1868.5333333333333</v>
      </c>
      <c r="L12" s="360">
        <f>+K12/K14</f>
        <v>0.55042340261739797</v>
      </c>
      <c r="N12" s="363">
        <f>'Formule pour le calcul D'!AC34</f>
        <v>1868.5333333333333</v>
      </c>
      <c r="O12" s="360">
        <f>+N12/N14</f>
        <v>0.55042340261739797</v>
      </c>
      <c r="P12" s="361"/>
      <c r="Q12" s="363">
        <f>'Formule pour le calcul D'!AC42</f>
        <v>1868.5333333333333</v>
      </c>
      <c r="R12" s="360">
        <f>+Q12/Q14</f>
        <v>0.55042340261739797</v>
      </c>
      <c r="T12" s="363">
        <f>'Formule pour le calcul D'!AC50</f>
        <v>1868.5333333333333</v>
      </c>
      <c r="U12" s="360">
        <f>+T12/T14</f>
        <v>0.55042340261739797</v>
      </c>
      <c r="W12" s="363">
        <f>'Formule pour le calcul D'!AC58</f>
        <v>1868.5333333333333</v>
      </c>
      <c r="X12" s="360">
        <f>+W12/W14</f>
        <v>0.55042340261739797</v>
      </c>
      <c r="Z12" s="363">
        <f>'Formule pour le calcul D'!AC66</f>
        <v>1868.5333333333333</v>
      </c>
      <c r="AA12" s="360">
        <f>+Z12/Z14</f>
        <v>0.55042340261739797</v>
      </c>
      <c r="AC12" s="363">
        <f>'Formule pour le calcul D'!AC74</f>
        <v>1868.5333333333333</v>
      </c>
      <c r="AD12" s="360">
        <f>+AC12/AC14</f>
        <v>0.55042340261739797</v>
      </c>
      <c r="AF12" s="363">
        <f>'Formule pour le calcul D'!AC82</f>
        <v>1868.5333333333333</v>
      </c>
      <c r="AG12" s="360">
        <f>+AF12/AF14</f>
        <v>0.55042340261739797</v>
      </c>
      <c r="AI12" s="363">
        <f>'Formule pour le calcul D'!AC90</f>
        <v>1868.5333333333333</v>
      </c>
      <c r="AJ12" s="360">
        <f>+AI12/AI14</f>
        <v>0.55042340261739797</v>
      </c>
      <c r="AL12" s="363">
        <f>'Formule pour le calcul D'!AC98</f>
        <v>1868.5333333333333</v>
      </c>
      <c r="AM12" s="360">
        <f>+AL12/AL14</f>
        <v>0.55042340261739797</v>
      </c>
      <c r="AO12" s="363">
        <f>'Formule pour le calcul D'!AC106</f>
        <v>1868.5333333333333</v>
      </c>
      <c r="AP12" s="360">
        <f>+AO12/AO14</f>
        <v>0.55042340261739797</v>
      </c>
      <c r="AR12" s="531">
        <f>'Formule pour le calcul D'!AC114</f>
        <v>24290.933333333331</v>
      </c>
      <c r="AS12" s="532">
        <f>+AR12/AR14</f>
        <v>0.55042340261739786</v>
      </c>
      <c r="AU12" s="533">
        <f>+AV12*AX14</f>
        <v>78382.892999999996</v>
      </c>
      <c r="AV12" s="534">
        <v>0.15</v>
      </c>
      <c r="AZ12" s="376" t="s">
        <v>16</v>
      </c>
      <c r="BA12" s="521">
        <v>536585</v>
      </c>
      <c r="BB12" s="522">
        <f>+BA12/BA22</f>
        <v>7.9110441174671031E-2</v>
      </c>
    </row>
    <row r="13" spans="2:66" ht="17" thickBot="1" x14ac:dyDescent="0.25">
      <c r="C13" s="362" t="s">
        <v>151</v>
      </c>
      <c r="E13" s="363">
        <f>'Formule pour le calcul D'!AO10</f>
        <v>582.12</v>
      </c>
      <c r="F13" s="360">
        <f t="shared" si="0"/>
        <v>0.17147806004618937</v>
      </c>
      <c r="H13" s="363">
        <f>'Formule pour le calcul D'!AO18</f>
        <v>582.12</v>
      </c>
      <c r="I13" s="360">
        <f>+H13/H14</f>
        <v>0.17147806004618937</v>
      </c>
      <c r="K13" s="363">
        <f>'Formule pour le calcul D'!AO26</f>
        <v>582.12</v>
      </c>
      <c r="L13" s="360">
        <f>+K13/K14</f>
        <v>0.17147806004618937</v>
      </c>
      <c r="N13" s="363">
        <f>'Formule pour le calcul D'!AO34</f>
        <v>582.12</v>
      </c>
      <c r="O13" s="360">
        <f>+N13/N14</f>
        <v>0.17147806004618937</v>
      </c>
      <c r="P13" s="361"/>
      <c r="Q13" s="363">
        <f>'Formule pour le calcul D'!AO42</f>
        <v>582.12</v>
      </c>
      <c r="R13" s="360">
        <f>+Q13/Q14</f>
        <v>0.17147806004618937</v>
      </c>
      <c r="T13" s="363">
        <f>'Formule pour le calcul D'!AO50</f>
        <v>582.12</v>
      </c>
      <c r="U13" s="360">
        <f>+T13/T14</f>
        <v>0.17147806004618937</v>
      </c>
      <c r="W13" s="363">
        <f>'Formule pour le calcul D'!AO58</f>
        <v>582.12</v>
      </c>
      <c r="X13" s="360">
        <f>+W13/W14</f>
        <v>0.17147806004618937</v>
      </c>
      <c r="Z13" s="363">
        <f>'Formule pour le calcul D'!AO66</f>
        <v>582.12</v>
      </c>
      <c r="AA13" s="360">
        <f>+Z13/Z14</f>
        <v>0.17147806004618937</v>
      </c>
      <c r="AC13" s="363">
        <f>'Formule pour le calcul D'!AO74</f>
        <v>582.12</v>
      </c>
      <c r="AD13" s="360">
        <f>+AC13/AC14</f>
        <v>0.17147806004618937</v>
      </c>
      <c r="AF13" s="363">
        <f>'Formule pour le calcul D'!AO82</f>
        <v>582.12</v>
      </c>
      <c r="AG13" s="360">
        <f>+AF13/AF14</f>
        <v>0.17147806004618937</v>
      </c>
      <c r="AI13" s="363">
        <f>'Formule pour le calcul D'!AO90</f>
        <v>582.12</v>
      </c>
      <c r="AJ13" s="360">
        <f>+AI13/AI14</f>
        <v>0.17147806004618937</v>
      </c>
      <c r="AL13" s="363">
        <f>'Formule pour le calcul D'!AO98</f>
        <v>582.12</v>
      </c>
      <c r="AM13" s="360">
        <f>+AL13/AL14</f>
        <v>0.17147806004618937</v>
      </c>
      <c r="AO13" s="363">
        <f>'Formule pour le calcul D'!AO106</f>
        <v>582.12</v>
      </c>
      <c r="AP13" s="360">
        <f>+AO13/AO14</f>
        <v>0.17147806004618937</v>
      </c>
      <c r="AR13" s="531">
        <f>'Formule pour le calcul D'!AO114</f>
        <v>7567.5599999999995</v>
      </c>
      <c r="AS13" s="532">
        <f>+AR13/AR14</f>
        <v>0.17147806004618935</v>
      </c>
      <c r="AU13" s="533">
        <f>+AV13*AX14</f>
        <v>22469.762659999997</v>
      </c>
      <c r="AV13" s="535">
        <v>4.2999999999999997E-2</v>
      </c>
      <c r="AX13" s="150"/>
      <c r="AZ13" s="376" t="s">
        <v>17</v>
      </c>
      <c r="BA13" s="521">
        <v>518060</v>
      </c>
      <c r="BB13" s="522">
        <f>+BA13/BA22</f>
        <v>7.6379241229162342E-2</v>
      </c>
    </row>
    <row r="14" spans="2:66" ht="18" thickTop="1" thickBot="1" x14ac:dyDescent="0.25">
      <c r="C14" s="365" t="s">
        <v>152</v>
      </c>
      <c r="D14" s="366"/>
      <c r="E14" s="367">
        <f>+SUM(E11:E13)</f>
        <v>3394.7200000000003</v>
      </c>
      <c r="F14" s="368">
        <f>SUM(F11:F13)</f>
        <v>1</v>
      </c>
      <c r="G14" s="369"/>
      <c r="H14" s="367">
        <f>+SUM(H11:H13)</f>
        <v>3394.7200000000003</v>
      </c>
      <c r="I14" s="368">
        <f>SUM(I11:I13)</f>
        <v>1</v>
      </c>
      <c r="J14" s="366"/>
      <c r="K14" s="367">
        <f>+SUM(K11:K13)</f>
        <v>3394.7200000000003</v>
      </c>
      <c r="L14" s="368">
        <f>SUM(L11:L13)</f>
        <v>1</v>
      </c>
      <c r="M14" s="366"/>
      <c r="N14" s="367">
        <f>+SUM(N11:N13)</f>
        <v>3394.7200000000003</v>
      </c>
      <c r="O14" s="368">
        <f>SUM(O11:O13)</f>
        <v>1</v>
      </c>
      <c r="P14" s="369"/>
      <c r="Q14" s="367">
        <f>+SUM(Q11:Q13)</f>
        <v>3394.7200000000003</v>
      </c>
      <c r="R14" s="368">
        <f>SUM(R11:R13)</f>
        <v>1</v>
      </c>
      <c r="S14" s="366"/>
      <c r="T14" s="367">
        <f>+SUM(T11:T13)</f>
        <v>3394.7200000000003</v>
      </c>
      <c r="U14" s="368">
        <f>SUM(U11:U13)</f>
        <v>1</v>
      </c>
      <c r="V14" s="370"/>
      <c r="W14" s="367">
        <f>+SUM(W11:W13)</f>
        <v>3394.7200000000003</v>
      </c>
      <c r="X14" s="368">
        <f>SUM(X11:X13)</f>
        <v>1</v>
      </c>
      <c r="Y14" s="370"/>
      <c r="Z14" s="367">
        <f>+SUM(Z11:Z13)</f>
        <v>3394.7200000000003</v>
      </c>
      <c r="AA14" s="368">
        <f>SUM(AA11:AA13)</f>
        <v>1</v>
      </c>
      <c r="AB14" s="370"/>
      <c r="AC14" s="367">
        <f>+SUM(AC11:AC13)</f>
        <v>3394.7200000000003</v>
      </c>
      <c r="AD14" s="368">
        <f>SUM(AD11:AD13)</f>
        <v>1</v>
      </c>
      <c r="AE14" s="370"/>
      <c r="AF14" s="367">
        <f>+SUM(AF11:AF13)</f>
        <v>3394.7200000000003</v>
      </c>
      <c r="AG14" s="368">
        <f>SUM(AG11:AG13)</f>
        <v>1</v>
      </c>
      <c r="AH14" s="370"/>
      <c r="AI14" s="367">
        <f>+SUM(AI11:AI13)</f>
        <v>3394.7200000000003</v>
      </c>
      <c r="AJ14" s="368">
        <f>SUM(AJ11:AJ13)</f>
        <v>1</v>
      </c>
      <c r="AK14" s="370"/>
      <c r="AL14" s="367">
        <f>+SUM(AL11:AL13)</f>
        <v>3394.7200000000003</v>
      </c>
      <c r="AM14" s="368">
        <f>SUM(AM11:AM13)</f>
        <v>1</v>
      </c>
      <c r="AN14" s="370"/>
      <c r="AO14" s="367">
        <f>+SUM(AO11:AO13)</f>
        <v>3394.7200000000003</v>
      </c>
      <c r="AP14" s="368">
        <f>SUM(AP11:AP13)</f>
        <v>1</v>
      </c>
      <c r="AQ14" s="370"/>
      <c r="AR14" s="371">
        <f>+$AO$14+$AL14+$AI14+$AF14+$AC14+$Z14+$W14+$T14+$Q14+$N14+$K14+$H14+$E14</f>
        <v>44131.360000000008</v>
      </c>
      <c r="AS14" s="368">
        <f>SUM(AS11:AS13)</f>
        <v>0.99999999999999989</v>
      </c>
      <c r="AT14" s="366"/>
      <c r="AU14" s="372">
        <f>SUM(AU11:AU13)</f>
        <v>522552.62</v>
      </c>
      <c r="AV14" s="373">
        <f>SUM(AV11:AV13)</f>
        <v>1</v>
      </c>
      <c r="AW14" s="366"/>
      <c r="AX14" s="516">
        <v>522552.62</v>
      </c>
      <c r="AY14" s="366"/>
      <c r="AZ14" s="376" t="s">
        <v>24</v>
      </c>
      <c r="BA14" s="521">
        <v>588368</v>
      </c>
      <c r="BB14" s="522">
        <f>+BA14/BA22</f>
        <v>8.6744974334092173E-2</v>
      </c>
    </row>
    <row r="15" spans="2:66" ht="17" thickTop="1" x14ac:dyDescent="0.2">
      <c r="C15" s="374"/>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4"/>
      <c r="AK15" s="374"/>
      <c r="AL15" s="374"/>
      <c r="AM15" s="374"/>
      <c r="AN15" s="374"/>
      <c r="AO15" s="374"/>
      <c r="AP15" s="374"/>
      <c r="AQ15" s="374"/>
      <c r="AR15" s="374"/>
      <c r="AS15" s="374"/>
      <c r="AT15" s="374"/>
      <c r="AU15" s="374"/>
      <c r="AV15" s="374"/>
      <c r="AZ15" s="376" t="s">
        <v>18</v>
      </c>
      <c r="BA15" s="521">
        <v>618690</v>
      </c>
      <c r="BB15" s="522">
        <f>+BA15/BA22</f>
        <v>9.1215443686195524E-2</v>
      </c>
    </row>
    <row r="16" spans="2:66" ht="16" customHeight="1" x14ac:dyDescent="0.2">
      <c r="B16" s="150"/>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74"/>
      <c r="AM16" s="374"/>
      <c r="AN16" s="374"/>
      <c r="AO16" s="374"/>
      <c r="AP16" s="374"/>
      <c r="AQ16" s="374"/>
      <c r="AR16" s="374"/>
      <c r="AS16" s="374"/>
      <c r="AT16" s="374"/>
      <c r="AU16" s="374"/>
      <c r="AV16" s="374"/>
      <c r="AX16" s="149" t="s">
        <v>1</v>
      </c>
      <c r="AZ16" s="376" t="s">
        <v>19</v>
      </c>
      <c r="BA16" s="521">
        <v>660142</v>
      </c>
      <c r="BB16" s="522">
        <f>+BA16/BA22</f>
        <v>9.7326844503535667E-2</v>
      </c>
    </row>
    <row r="17" spans="3:54" ht="16" customHeight="1" x14ac:dyDescent="0.2">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4"/>
      <c r="AN17" s="374"/>
      <c r="AO17" s="374"/>
      <c r="AP17" s="374"/>
      <c r="AQ17" s="374"/>
      <c r="AR17" s="374"/>
      <c r="AS17" s="374"/>
      <c r="AT17" s="374"/>
      <c r="AU17" s="374"/>
      <c r="AV17" s="374"/>
      <c r="AX17" s="374"/>
      <c r="AZ17" s="376" t="s">
        <v>20</v>
      </c>
      <c r="BA17" s="521">
        <v>653088</v>
      </c>
      <c r="BB17" s="522">
        <f>+BA17/BA22</f>
        <v>9.6286850742908506E-2</v>
      </c>
    </row>
    <row r="18" spans="3:54" ht="16" customHeight="1" x14ac:dyDescent="0.2">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374"/>
      <c r="AM18" s="374"/>
      <c r="AN18" s="374"/>
      <c r="AO18" s="374"/>
      <c r="AP18" s="374"/>
      <c r="AQ18" s="374"/>
      <c r="AR18" s="374"/>
      <c r="AS18" s="374"/>
      <c r="AT18" s="374"/>
      <c r="AU18" s="374"/>
      <c r="AV18" s="374"/>
      <c r="AX18" s="374"/>
      <c r="AZ18" s="376" t="s">
        <v>21</v>
      </c>
      <c r="BA18" s="521">
        <v>570696</v>
      </c>
      <c r="BB18" s="522">
        <f>+BA18/BA22</f>
        <v>8.4139534904293004E-2</v>
      </c>
    </row>
    <row r="19" spans="3:54" ht="16" customHeight="1" x14ac:dyDescent="0.25">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4"/>
      <c r="AN19" s="374"/>
      <c r="AO19" s="374"/>
      <c r="AP19" s="374"/>
      <c r="AQ19" s="374"/>
      <c r="AR19" s="374"/>
      <c r="AS19" s="374"/>
      <c r="AT19" s="374"/>
      <c r="AU19" s="380" t="s">
        <v>1</v>
      </c>
      <c r="AV19" s="374"/>
      <c r="AX19" s="374"/>
      <c r="AZ19" s="376" t="s">
        <v>22</v>
      </c>
      <c r="BA19" s="521">
        <v>569724</v>
      </c>
      <c r="BB19" s="522">
        <f>+BA19/BA22</f>
        <v>8.3996229838326233E-2</v>
      </c>
    </row>
    <row r="20" spans="3:54" ht="16" customHeight="1" x14ac:dyDescent="0.2">
      <c r="C20" s="374"/>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X20" s="374"/>
      <c r="AZ20" s="376" t="s">
        <v>153</v>
      </c>
      <c r="BA20" s="521">
        <v>538132</v>
      </c>
      <c r="BB20" s="522">
        <f>+BA20/BA22</f>
        <v>7.9338520328015277E-2</v>
      </c>
    </row>
    <row r="21" spans="3:54" ht="16" customHeight="1" thickBot="1" x14ac:dyDescent="0.25">
      <c r="C21" s="374"/>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4"/>
      <c r="AM21" s="374"/>
      <c r="AN21" s="374"/>
      <c r="AO21" s="374"/>
      <c r="AP21" s="374"/>
      <c r="AQ21" s="374"/>
      <c r="AR21" s="374"/>
      <c r="AS21" s="374"/>
      <c r="AT21" s="374"/>
      <c r="AU21" s="374"/>
      <c r="AV21" s="374"/>
      <c r="AX21" s="374"/>
      <c r="AZ21" s="376" t="s">
        <v>154</v>
      </c>
      <c r="BA21" s="521">
        <v>607558</v>
      </c>
      <c r="BB21" s="522">
        <f>+BA21/BA22</f>
        <v>8.9574217354567845E-2</v>
      </c>
    </row>
    <row r="22" spans="3:54" ht="16" customHeight="1" thickTop="1" thickBot="1" x14ac:dyDescent="0.25">
      <c r="C22" s="374"/>
      <c r="D22" s="374"/>
      <c r="E22" s="374"/>
      <c r="F22" s="374"/>
      <c r="G22" s="374"/>
      <c r="H22" s="374"/>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X22" s="374"/>
      <c r="AZ22" s="376" t="s">
        <v>9</v>
      </c>
      <c r="BA22" s="523">
        <f>+SUM(BA10:BA21)</f>
        <v>6782733</v>
      </c>
      <c r="BB22" s="524">
        <f>+SUM(BB10:BB21)</f>
        <v>1.0000000000000002</v>
      </c>
    </row>
    <row r="23" spans="3:54" ht="16" customHeight="1" thickTop="1" x14ac:dyDescent="0.2">
      <c r="C23" s="374"/>
      <c r="D23" s="374"/>
      <c r="E23" s="374"/>
      <c r="F23" s="374"/>
      <c r="G23" s="374"/>
      <c r="H23" s="374"/>
      <c r="I23" s="374"/>
      <c r="J23" s="374"/>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4"/>
      <c r="AL23" s="374"/>
      <c r="AM23" s="374"/>
      <c r="AN23" s="374"/>
      <c r="AO23" s="374"/>
      <c r="AP23" s="374"/>
      <c r="AQ23" s="374"/>
      <c r="AR23" s="374"/>
      <c r="AS23" s="374"/>
      <c r="AT23" s="374"/>
      <c r="AU23" s="374"/>
      <c r="AV23" s="374"/>
      <c r="AX23" s="374"/>
      <c r="AZ23"/>
      <c r="BA23"/>
      <c r="BB23"/>
    </row>
    <row r="24" spans="3:54" ht="16" customHeight="1" x14ac:dyDescent="0.35">
      <c r="C24" s="374"/>
      <c r="D24" s="374"/>
      <c r="E24" s="374"/>
      <c r="F24" s="374"/>
      <c r="G24" s="374"/>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374"/>
      <c r="AP24" s="374"/>
      <c r="AQ24" s="374"/>
      <c r="AR24" s="374"/>
      <c r="AS24" s="374"/>
      <c r="AT24" s="374"/>
      <c r="AU24" s="374"/>
      <c r="AV24" s="374"/>
      <c r="AZ24" s="377" t="s">
        <v>155</v>
      </c>
      <c r="BA24" s="378">
        <f>+BA22/12</f>
        <v>565227.75</v>
      </c>
      <c r="BB24" s="379">
        <f>BA24/BA22</f>
        <v>8.3333333333333329E-2</v>
      </c>
    </row>
    <row r="25" spans="3:54" ht="16" customHeight="1" x14ac:dyDescent="0.2">
      <c r="C25" s="374"/>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4"/>
      <c r="AL25" s="374"/>
      <c r="AM25" s="374"/>
      <c r="AN25" s="374"/>
      <c r="AO25" s="374"/>
      <c r="AP25" s="374"/>
      <c r="AQ25" s="374"/>
      <c r="AR25" s="374"/>
      <c r="AS25" s="374"/>
      <c r="AT25" s="374"/>
      <c r="AU25" s="374"/>
      <c r="AV25" s="374"/>
      <c r="AW25" s="366"/>
      <c r="AX25" s="366"/>
      <c r="AY25" s="366"/>
      <c r="AZ25" s="366"/>
      <c r="BA25" s="366"/>
      <c r="BB25" s="366"/>
    </row>
    <row r="26" spans="3:54" ht="16" x14ac:dyDescent="0.2">
      <c r="C26" s="374"/>
      <c r="D26" s="374"/>
      <c r="E26" s="374"/>
      <c r="F26" s="374"/>
      <c r="G26" s="374"/>
      <c r="H26" s="374"/>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4"/>
      <c r="AM26" s="374"/>
      <c r="AN26" s="374"/>
      <c r="AO26" s="374"/>
      <c r="AP26" s="374"/>
      <c r="AQ26" s="374"/>
      <c r="AR26" s="374"/>
      <c r="AS26" s="374"/>
      <c r="AT26" s="374"/>
      <c r="AU26" s="374"/>
      <c r="AV26" s="374"/>
    </row>
    <row r="27" spans="3:54" ht="16" x14ac:dyDescent="0.2">
      <c r="C27" s="374"/>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374"/>
      <c r="AM27" s="374"/>
      <c r="AN27" s="374"/>
      <c r="AO27" s="374"/>
      <c r="AP27" s="374"/>
      <c r="AQ27" s="374"/>
      <c r="AR27" s="374"/>
      <c r="AS27" s="374"/>
      <c r="AT27" s="374"/>
      <c r="AU27" s="374"/>
      <c r="AV27" s="374"/>
    </row>
    <row r="28" spans="3:54" ht="16" x14ac:dyDescent="0.2">
      <c r="C28" s="374"/>
      <c r="D28" s="374"/>
      <c r="E28" s="374"/>
      <c r="F28" s="374"/>
      <c r="G28" s="374"/>
      <c r="H28" s="374"/>
      <c r="I28" s="374"/>
      <c r="J28" s="374"/>
      <c r="K28" s="374"/>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374"/>
      <c r="AM28" s="374"/>
      <c r="AN28" s="374"/>
      <c r="AO28" s="374"/>
      <c r="AP28" s="374"/>
      <c r="AQ28" s="374"/>
      <c r="AR28" s="374"/>
      <c r="AS28" s="374"/>
      <c r="AT28" s="374"/>
      <c r="AU28" s="374"/>
      <c r="AV28" s="374"/>
    </row>
    <row r="29" spans="3:54" ht="16" x14ac:dyDescent="0.2">
      <c r="C29" s="374"/>
      <c r="D29" s="374"/>
      <c r="E29" s="374"/>
      <c r="F29" s="374"/>
      <c r="G29" s="374"/>
      <c r="H29" s="374"/>
      <c r="I29" s="374"/>
      <c r="J29" s="374"/>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4"/>
      <c r="AL29" s="374"/>
      <c r="AM29" s="374"/>
      <c r="AN29" s="374"/>
      <c r="AO29" s="374"/>
      <c r="AP29" s="374"/>
      <c r="AQ29" s="374"/>
      <c r="AR29" s="374"/>
      <c r="AS29" s="374"/>
      <c r="AT29" s="374"/>
      <c r="AU29" s="374"/>
      <c r="AV29" s="374"/>
    </row>
    <row r="30" spans="3:54" ht="16" x14ac:dyDescent="0.2">
      <c r="C30" s="374"/>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4"/>
      <c r="AM30" s="374"/>
      <c r="AN30" s="374"/>
      <c r="AO30" s="374"/>
      <c r="AP30" s="374"/>
      <c r="AQ30" s="374"/>
      <c r="AR30" s="374"/>
      <c r="AS30" s="374"/>
      <c r="AT30" s="374"/>
      <c r="AU30" s="374"/>
      <c r="AV30" s="374"/>
    </row>
    <row r="31" spans="3:54" ht="16" x14ac:dyDescent="0.2">
      <c r="C31" s="374"/>
      <c r="D31" s="374"/>
      <c r="E31" s="374"/>
      <c r="F31" s="374"/>
      <c r="G31" s="374"/>
      <c r="H31" s="374"/>
      <c r="I31" s="374"/>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4"/>
      <c r="AO31" s="374"/>
      <c r="AP31" s="374"/>
      <c r="AQ31" s="374"/>
      <c r="AR31" s="374"/>
      <c r="AS31" s="374"/>
      <c r="AT31" s="374"/>
      <c r="AU31" s="374"/>
      <c r="AV31" s="374"/>
    </row>
    <row r="32" spans="3:54" ht="16" x14ac:dyDescent="0.2">
      <c r="C32" s="374"/>
      <c r="D32" s="374"/>
      <c r="E32" s="374"/>
      <c r="F32" s="374"/>
      <c r="G32" s="374"/>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4"/>
      <c r="AL32" s="374"/>
      <c r="AM32" s="374"/>
      <c r="AN32" s="374"/>
      <c r="AO32" s="374"/>
      <c r="AP32" s="374"/>
      <c r="AQ32" s="374"/>
      <c r="AR32" s="374"/>
      <c r="AS32" s="374"/>
      <c r="AT32" s="374"/>
      <c r="AU32" s="374"/>
      <c r="AV32" s="374"/>
    </row>
    <row r="33" spans="3:54" ht="16" x14ac:dyDescent="0.2">
      <c r="C33" s="374"/>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4"/>
      <c r="AM33" s="374"/>
      <c r="AN33" s="374"/>
      <c r="AO33" s="374"/>
      <c r="AP33" s="374"/>
      <c r="AQ33" s="374"/>
      <c r="AR33" s="374"/>
      <c r="AS33" s="374"/>
      <c r="AT33" s="374"/>
      <c r="AU33" s="374"/>
      <c r="AV33" s="374"/>
    </row>
    <row r="34" spans="3:54" ht="16" x14ac:dyDescent="0.2">
      <c r="C34" s="374"/>
      <c r="D34" s="374"/>
      <c r="E34" s="374"/>
      <c r="F34" s="374"/>
      <c r="G34" s="374"/>
      <c r="H34" s="374"/>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4"/>
      <c r="AI34" s="374"/>
      <c r="AJ34" s="374"/>
      <c r="AK34" s="374"/>
      <c r="AL34" s="374"/>
      <c r="AM34" s="374"/>
      <c r="AN34" s="374"/>
      <c r="AO34" s="374"/>
      <c r="AP34" s="374"/>
      <c r="AQ34" s="374"/>
      <c r="AR34" s="374"/>
      <c r="AS34" s="374"/>
      <c r="AT34" s="374"/>
      <c r="AU34" s="374"/>
      <c r="AV34" s="374"/>
    </row>
    <row r="35" spans="3:54" ht="16" x14ac:dyDescent="0.2">
      <c r="C35" s="374"/>
      <c r="D35" s="374"/>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4"/>
      <c r="AN35" s="374"/>
      <c r="AO35" s="374"/>
      <c r="AP35" s="374"/>
      <c r="AQ35" s="374"/>
      <c r="AR35" s="374"/>
      <c r="AS35" s="374"/>
      <c r="AT35" s="374"/>
      <c r="AU35" s="374"/>
      <c r="AV35" s="374"/>
    </row>
    <row r="36" spans="3:54" ht="16" x14ac:dyDescent="0.2">
      <c r="C36" s="374"/>
      <c r="D36" s="374"/>
      <c r="E36" s="374"/>
      <c r="F36" s="374"/>
      <c r="G36" s="374"/>
      <c r="H36" s="374"/>
      <c r="I36" s="374"/>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c r="AG36" s="374"/>
      <c r="AH36" s="374"/>
      <c r="AI36" s="374"/>
      <c r="AJ36" s="374"/>
      <c r="AK36" s="374"/>
      <c r="AL36" s="374"/>
      <c r="AM36" s="374"/>
      <c r="AN36" s="374"/>
      <c r="AO36" s="374"/>
      <c r="AP36" s="374"/>
      <c r="AQ36" s="374"/>
      <c r="AR36" s="374"/>
      <c r="AS36" s="374"/>
      <c r="AT36" s="374"/>
      <c r="AU36" s="374"/>
      <c r="AV36" s="374"/>
      <c r="AW36" s="366"/>
      <c r="AX36" s="366"/>
      <c r="AY36" s="366"/>
      <c r="AZ36" s="366"/>
      <c r="BA36" s="366"/>
      <c r="BB36" s="366"/>
    </row>
    <row r="37" spans="3:54" ht="16" x14ac:dyDescent="0.2">
      <c r="C37" s="374"/>
      <c r="D37" s="374"/>
      <c r="E37" s="374"/>
      <c r="F37" s="374"/>
      <c r="G37" s="374"/>
      <c r="H37" s="374"/>
      <c r="I37" s="374"/>
      <c r="J37" s="374"/>
      <c r="K37" s="374"/>
      <c r="L37" s="374"/>
      <c r="M37" s="374"/>
      <c r="N37" s="374"/>
      <c r="O37" s="374"/>
      <c r="P37" s="374"/>
      <c r="Q37" s="374"/>
      <c r="R37" s="374"/>
      <c r="S37" s="374"/>
      <c r="T37" s="374"/>
      <c r="U37" s="374"/>
      <c r="V37" s="374"/>
      <c r="W37" s="374"/>
      <c r="X37" s="374"/>
      <c r="Y37" s="374"/>
      <c r="Z37" s="374"/>
      <c r="AA37" s="374"/>
      <c r="AB37" s="374"/>
      <c r="AC37" s="374"/>
      <c r="AD37" s="374"/>
      <c r="AE37" s="374"/>
      <c r="AF37" s="374"/>
      <c r="AG37" s="374"/>
      <c r="AH37" s="374"/>
      <c r="AI37" s="374"/>
      <c r="AJ37" s="374"/>
      <c r="AK37" s="374"/>
      <c r="AL37" s="374"/>
      <c r="AM37" s="374"/>
      <c r="AN37" s="374"/>
      <c r="AO37" s="374"/>
      <c r="AP37" s="374"/>
      <c r="AQ37" s="374"/>
      <c r="AR37" s="374"/>
      <c r="AS37" s="374"/>
      <c r="AT37" s="374"/>
      <c r="AU37" s="374"/>
      <c r="AV37" s="374"/>
    </row>
    <row r="38" spans="3:54" ht="16" x14ac:dyDescent="0.2">
      <c r="C38" s="374"/>
      <c r="D38" s="374"/>
      <c r="E38" s="374"/>
      <c r="F38" s="374"/>
      <c r="G38" s="374"/>
      <c r="H38" s="374"/>
      <c r="I38" s="374"/>
      <c r="J38" s="374"/>
      <c r="K38" s="374"/>
      <c r="L38" s="374"/>
      <c r="M38" s="374"/>
      <c r="N38" s="374"/>
      <c r="O38" s="374"/>
      <c r="P38" s="374"/>
      <c r="Q38" s="374"/>
      <c r="R38" s="374"/>
      <c r="S38" s="374"/>
      <c r="T38" s="374"/>
      <c r="U38" s="374"/>
      <c r="V38" s="374"/>
      <c r="W38" s="374"/>
      <c r="X38" s="374"/>
      <c r="Y38" s="374"/>
      <c r="Z38" s="374"/>
      <c r="AA38" s="374"/>
      <c r="AB38" s="374"/>
      <c r="AC38" s="374"/>
      <c r="AD38" s="374"/>
      <c r="AE38" s="374"/>
      <c r="AF38" s="374"/>
      <c r="AG38" s="374"/>
      <c r="AH38" s="374"/>
      <c r="AI38" s="374"/>
      <c r="AJ38" s="374"/>
      <c r="AK38" s="374"/>
      <c r="AL38" s="374"/>
      <c r="AM38" s="374"/>
      <c r="AN38" s="374"/>
      <c r="AO38" s="374"/>
      <c r="AP38" s="374"/>
      <c r="AQ38" s="374"/>
      <c r="AR38" s="374"/>
      <c r="AS38" s="374"/>
      <c r="AT38" s="374"/>
      <c r="AU38" s="374"/>
      <c r="AV38" s="374"/>
    </row>
    <row r="39" spans="3:54" ht="16" x14ac:dyDescent="0.2">
      <c r="C39" s="374"/>
      <c r="D39" s="374"/>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374"/>
      <c r="AN39" s="374"/>
      <c r="AO39" s="374"/>
      <c r="AP39" s="374"/>
      <c r="AQ39" s="374"/>
      <c r="AR39" s="374"/>
      <c r="AS39" s="374"/>
      <c r="AT39" s="374"/>
      <c r="AU39" s="374"/>
      <c r="AV39" s="374"/>
    </row>
    <row r="40" spans="3:54" ht="16" x14ac:dyDescent="0.2">
      <c r="C40" s="374"/>
      <c r="D40" s="374"/>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374"/>
      <c r="AN40" s="374"/>
      <c r="AO40" s="374"/>
      <c r="AP40" s="374"/>
      <c r="AQ40" s="374"/>
      <c r="AR40" s="374"/>
      <c r="AS40" s="374"/>
      <c r="AT40" s="374"/>
      <c r="AU40" s="374"/>
      <c r="AV40" s="374"/>
    </row>
    <row r="41" spans="3:54" ht="16" x14ac:dyDescent="0.2">
      <c r="C41" s="374"/>
      <c r="D41" s="374"/>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374"/>
      <c r="AN41" s="374"/>
      <c r="AO41" s="374"/>
      <c r="AP41" s="374"/>
      <c r="AQ41" s="374"/>
      <c r="AR41" s="374"/>
      <c r="AS41" s="374"/>
      <c r="AT41" s="374"/>
      <c r="AU41" s="374"/>
      <c r="AV41" s="374"/>
      <c r="AW41" s="366"/>
      <c r="AX41" s="366">
        <v>2.8</v>
      </c>
      <c r="AY41" s="366"/>
      <c r="AZ41" s="366"/>
      <c r="BA41" s="366"/>
      <c r="BB41" s="366"/>
    </row>
    <row r="42" spans="3:54" ht="16" x14ac:dyDescent="0.2">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c r="AN42" s="374"/>
      <c r="AO42" s="374"/>
      <c r="AP42" s="374"/>
      <c r="AQ42" s="374"/>
      <c r="AR42" s="374"/>
      <c r="AS42" s="374"/>
      <c r="AT42" s="374"/>
      <c r="AU42" s="374"/>
      <c r="AV42" s="374"/>
    </row>
    <row r="43" spans="3:54" ht="16" x14ac:dyDescent="0.2">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4"/>
      <c r="AK43" s="374"/>
      <c r="AL43" s="374"/>
      <c r="AM43" s="374"/>
      <c r="AN43" s="374"/>
      <c r="AO43" s="374"/>
      <c r="AP43" s="374"/>
      <c r="AQ43" s="374"/>
      <c r="AR43" s="374"/>
      <c r="AS43" s="374"/>
      <c r="AT43" s="374"/>
      <c r="AU43" s="374"/>
      <c r="AV43" s="374"/>
    </row>
    <row r="44" spans="3:54" ht="16" x14ac:dyDescent="0.2">
      <c r="C44" s="374"/>
      <c r="D44" s="374"/>
      <c r="E44" s="374"/>
      <c r="F44" s="374"/>
      <c r="G44" s="374"/>
      <c r="H44" s="374"/>
      <c r="I44" s="374"/>
      <c r="J44" s="374"/>
      <c r="K44" s="374"/>
      <c r="L44" s="374"/>
      <c r="M44" s="374"/>
      <c r="N44" s="374"/>
      <c r="O44" s="374"/>
      <c r="P44" s="374"/>
      <c r="Q44" s="374"/>
      <c r="R44" s="374"/>
      <c r="S44" s="374"/>
      <c r="T44" s="374"/>
      <c r="U44" s="374"/>
      <c r="V44" s="374"/>
      <c r="W44" s="374"/>
      <c r="X44" s="374"/>
      <c r="Y44" s="374"/>
      <c r="Z44" s="374"/>
      <c r="AA44" s="374"/>
      <c r="AB44" s="374"/>
      <c r="AC44" s="374"/>
      <c r="AD44" s="374"/>
      <c r="AE44" s="374"/>
      <c r="AF44" s="374"/>
      <c r="AG44" s="374"/>
      <c r="AH44" s="374"/>
      <c r="AI44" s="374"/>
      <c r="AJ44" s="374"/>
      <c r="AK44" s="374"/>
      <c r="AL44" s="374"/>
      <c r="AM44" s="374"/>
      <c r="AN44" s="374"/>
      <c r="AO44" s="374"/>
      <c r="AP44" s="374"/>
      <c r="AQ44" s="374"/>
      <c r="AR44" s="374"/>
      <c r="AS44" s="374"/>
      <c r="AT44" s="374"/>
      <c r="AU44" s="374"/>
      <c r="AV44" s="374"/>
    </row>
    <row r="45" spans="3:54" ht="16" x14ac:dyDescent="0.2">
      <c r="C45" s="374"/>
      <c r="D45" s="374"/>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374"/>
      <c r="AN45" s="374"/>
      <c r="AO45" s="374"/>
      <c r="AP45" s="374"/>
      <c r="AQ45" s="374"/>
      <c r="AR45" s="374"/>
      <c r="AS45" s="374"/>
      <c r="AT45" s="374"/>
      <c r="AU45" s="374"/>
      <c r="AV45" s="374"/>
      <c r="AW45" s="366"/>
      <c r="AX45" s="366"/>
      <c r="AY45" s="366"/>
      <c r="AZ45" s="366"/>
      <c r="BA45" s="366"/>
      <c r="BB45" s="366"/>
    </row>
    <row r="46" spans="3:54" ht="16" x14ac:dyDescent="0.2">
      <c r="C46" s="374"/>
      <c r="D46" s="374"/>
      <c r="E46" s="374"/>
      <c r="F46" s="374"/>
      <c r="G46" s="374"/>
      <c r="H46" s="374"/>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c r="AM46" s="374"/>
      <c r="AN46" s="374"/>
      <c r="AO46" s="374"/>
      <c r="AP46" s="374"/>
      <c r="AQ46" s="374"/>
      <c r="AR46" s="374"/>
      <c r="AS46" s="374"/>
      <c r="AT46" s="374"/>
      <c r="AU46" s="374"/>
      <c r="AV46" s="374"/>
    </row>
    <row r="47" spans="3:54" ht="16" x14ac:dyDescent="0.2">
      <c r="C47" s="374"/>
      <c r="D47" s="374"/>
      <c r="E47" s="374"/>
      <c r="F47" s="374"/>
      <c r="G47" s="374"/>
      <c r="H47" s="374"/>
      <c r="I47" s="374"/>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4"/>
      <c r="AI47" s="374"/>
      <c r="AJ47" s="374"/>
      <c r="AK47" s="374"/>
      <c r="AL47" s="374"/>
      <c r="AM47" s="374"/>
      <c r="AN47" s="374"/>
      <c r="AO47" s="374"/>
      <c r="AP47" s="374"/>
      <c r="AQ47" s="374"/>
      <c r="AR47" s="374"/>
      <c r="AS47" s="374"/>
      <c r="AT47" s="374"/>
      <c r="AU47" s="374"/>
      <c r="AV47" s="374"/>
    </row>
    <row r="48" spans="3:54" ht="16" x14ac:dyDescent="0.2">
      <c r="C48" s="374"/>
      <c r="D48" s="374"/>
      <c r="E48" s="374"/>
      <c r="F48" s="374"/>
      <c r="G48" s="374"/>
      <c r="H48" s="374"/>
      <c r="I48" s="374"/>
      <c r="J48" s="374"/>
      <c r="K48" s="374"/>
      <c r="L48" s="374"/>
      <c r="M48" s="374"/>
      <c r="N48" s="374"/>
      <c r="O48" s="374"/>
      <c r="P48" s="374"/>
      <c r="Q48" s="374"/>
      <c r="R48" s="374"/>
      <c r="S48" s="374"/>
      <c r="T48" s="374"/>
      <c r="U48" s="374"/>
      <c r="V48" s="374"/>
      <c r="W48" s="374"/>
      <c r="X48" s="374"/>
      <c r="Y48" s="374"/>
      <c r="Z48" s="374"/>
      <c r="AA48" s="374"/>
      <c r="AB48" s="374"/>
      <c r="AC48" s="374"/>
      <c r="AD48" s="374"/>
      <c r="AE48" s="374"/>
      <c r="AF48" s="374"/>
      <c r="AG48" s="374"/>
      <c r="AH48" s="374"/>
      <c r="AI48" s="374"/>
      <c r="AJ48" s="374"/>
      <c r="AK48" s="374"/>
      <c r="AL48" s="374"/>
      <c r="AM48" s="374"/>
      <c r="AN48" s="374"/>
      <c r="AO48" s="374"/>
      <c r="AP48" s="374"/>
      <c r="AQ48" s="374"/>
      <c r="AR48" s="374"/>
      <c r="AS48" s="374"/>
      <c r="AT48" s="374"/>
      <c r="AU48" s="374"/>
      <c r="AV48" s="374"/>
    </row>
    <row r="49" spans="3:48" ht="16" x14ac:dyDescent="0.2">
      <c r="C49" s="374"/>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c r="AD49" s="374"/>
      <c r="AE49" s="374"/>
      <c r="AF49" s="374"/>
      <c r="AG49" s="374"/>
      <c r="AH49" s="374"/>
      <c r="AI49" s="374"/>
      <c r="AJ49" s="374"/>
      <c r="AK49" s="374"/>
      <c r="AL49" s="374"/>
      <c r="AM49" s="374"/>
      <c r="AN49" s="374"/>
      <c r="AO49" s="374"/>
      <c r="AP49" s="374"/>
      <c r="AQ49" s="374"/>
      <c r="AR49" s="374"/>
      <c r="AS49" s="374"/>
      <c r="AT49" s="374"/>
      <c r="AU49" s="374"/>
      <c r="AV49" s="374"/>
    </row>
    <row r="50" spans="3:48" ht="16" x14ac:dyDescent="0.2">
      <c r="C50" s="374"/>
      <c r="D50" s="374"/>
      <c r="E50" s="374"/>
      <c r="F50" s="374"/>
      <c r="G50" s="374"/>
      <c r="H50" s="374"/>
      <c r="I50" s="374"/>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c r="AL50" s="374"/>
      <c r="AM50" s="374"/>
      <c r="AN50" s="374"/>
      <c r="AO50" s="374"/>
      <c r="AP50" s="374"/>
      <c r="AQ50" s="374"/>
      <c r="AR50" s="374"/>
      <c r="AS50" s="374"/>
      <c r="AT50" s="374"/>
      <c r="AU50" s="374"/>
      <c r="AV50" s="374"/>
    </row>
    <row r="51" spans="3:48" ht="16" x14ac:dyDescent="0.2">
      <c r="C51" s="374"/>
      <c r="D51" s="374"/>
      <c r="E51" s="374"/>
      <c r="F51" s="374"/>
      <c r="G51" s="374"/>
      <c r="H51" s="374"/>
      <c r="I51" s="374"/>
      <c r="J51" s="374"/>
      <c r="K51" s="374"/>
      <c r="L51" s="374"/>
      <c r="M51" s="374"/>
      <c r="N51" s="374"/>
      <c r="O51" s="374"/>
      <c r="P51" s="374"/>
      <c r="Q51" s="374"/>
      <c r="R51" s="374"/>
      <c r="S51" s="374"/>
      <c r="T51" s="374"/>
      <c r="U51" s="374"/>
      <c r="V51" s="374"/>
      <c r="W51" s="374"/>
      <c r="X51" s="374"/>
      <c r="Y51" s="374"/>
      <c r="Z51" s="374"/>
      <c r="AA51" s="374"/>
      <c r="AB51" s="374"/>
      <c r="AC51" s="374"/>
      <c r="AD51" s="374"/>
      <c r="AE51" s="374"/>
      <c r="AF51" s="374"/>
      <c r="AG51" s="374"/>
      <c r="AH51" s="374"/>
      <c r="AI51" s="374"/>
      <c r="AJ51" s="374"/>
      <c r="AK51" s="374"/>
      <c r="AL51" s="374"/>
      <c r="AM51" s="374"/>
      <c r="AN51" s="374"/>
      <c r="AO51" s="374"/>
      <c r="AP51" s="374"/>
      <c r="AQ51" s="374"/>
      <c r="AR51" s="374"/>
      <c r="AS51" s="374"/>
      <c r="AT51" s="374"/>
      <c r="AU51" s="374"/>
      <c r="AV51" s="374"/>
    </row>
    <row r="52" spans="3:48" ht="16" x14ac:dyDescent="0.2">
      <c r="C52" s="374"/>
      <c r="D52" s="374"/>
      <c r="E52" s="374"/>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4"/>
      <c r="AH52" s="374"/>
      <c r="AI52" s="374"/>
      <c r="AJ52" s="374"/>
      <c r="AK52" s="374"/>
      <c r="AL52" s="374"/>
      <c r="AM52" s="374"/>
      <c r="AN52" s="374"/>
      <c r="AO52" s="374"/>
      <c r="AP52" s="374"/>
      <c r="AQ52" s="374"/>
      <c r="AR52" s="374"/>
      <c r="AS52" s="374"/>
      <c r="AT52" s="374"/>
      <c r="AU52" s="374"/>
      <c r="AV52" s="374"/>
    </row>
    <row r="53" spans="3:48" ht="16" x14ac:dyDescent="0.2">
      <c r="C53" s="374"/>
      <c r="D53" s="374"/>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4"/>
      <c r="AJ53" s="374"/>
      <c r="AK53" s="374"/>
      <c r="AL53" s="374"/>
      <c r="AM53" s="374"/>
      <c r="AN53" s="374"/>
      <c r="AO53" s="374"/>
      <c r="AP53" s="374"/>
      <c r="AQ53" s="374"/>
      <c r="AR53" s="374"/>
      <c r="AS53" s="374"/>
      <c r="AT53" s="374"/>
      <c r="AU53" s="374"/>
      <c r="AV53" s="374"/>
    </row>
    <row r="54" spans="3:48" ht="16" x14ac:dyDescent="0.2">
      <c r="C54" s="374"/>
      <c r="D54" s="374"/>
      <c r="E54" s="374"/>
      <c r="F54" s="374"/>
      <c r="G54" s="374"/>
      <c r="H54" s="374"/>
      <c r="I54" s="374"/>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374"/>
      <c r="AI54" s="374"/>
      <c r="AJ54" s="374"/>
      <c r="AK54" s="374"/>
      <c r="AL54" s="374"/>
      <c r="AM54" s="374"/>
      <c r="AN54" s="374"/>
      <c r="AO54" s="374"/>
      <c r="AP54" s="374"/>
      <c r="AQ54" s="374"/>
      <c r="AR54" s="374"/>
      <c r="AS54" s="374"/>
      <c r="AT54" s="374"/>
      <c r="AU54" s="374"/>
      <c r="AV54" s="374"/>
    </row>
    <row r="55" spans="3:48" ht="16" x14ac:dyDescent="0.2">
      <c r="C55" s="374"/>
      <c r="D55" s="374"/>
      <c r="E55" s="374"/>
      <c r="F55" s="374"/>
      <c r="G55" s="374"/>
      <c r="H55" s="374"/>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c r="AG55" s="374"/>
      <c r="AH55" s="374"/>
      <c r="AI55" s="374"/>
      <c r="AJ55" s="374"/>
      <c r="AK55" s="374"/>
      <c r="AL55" s="374"/>
      <c r="AM55" s="374"/>
      <c r="AN55" s="374"/>
      <c r="AO55" s="374"/>
      <c r="AP55" s="374"/>
      <c r="AQ55" s="374"/>
      <c r="AR55" s="374"/>
      <c r="AS55" s="374"/>
      <c r="AT55" s="374"/>
      <c r="AU55" s="374"/>
      <c r="AV55" s="374"/>
    </row>
    <row r="56" spans="3:48" ht="16" x14ac:dyDescent="0.2">
      <c r="C56" s="374"/>
      <c r="D56" s="374"/>
      <c r="E56" s="374"/>
      <c r="F56" s="374"/>
      <c r="G56" s="374"/>
      <c r="H56" s="374"/>
      <c r="I56" s="374"/>
      <c r="J56" s="374"/>
      <c r="K56" s="374"/>
      <c r="L56" s="374"/>
      <c r="M56" s="374"/>
      <c r="N56" s="374"/>
      <c r="O56" s="374"/>
      <c r="P56" s="374"/>
      <c r="Q56" s="374"/>
      <c r="R56" s="374"/>
      <c r="S56" s="374"/>
      <c r="T56" s="374"/>
      <c r="U56" s="374"/>
      <c r="V56" s="374"/>
      <c r="W56" s="374"/>
      <c r="X56" s="374"/>
      <c r="Y56" s="374"/>
      <c r="Z56" s="374"/>
      <c r="AA56" s="374"/>
      <c r="AB56" s="374"/>
      <c r="AC56" s="374"/>
      <c r="AD56" s="374"/>
      <c r="AE56" s="374"/>
      <c r="AF56" s="374"/>
      <c r="AG56" s="374"/>
      <c r="AH56" s="374"/>
      <c r="AI56" s="374"/>
      <c r="AJ56" s="374"/>
      <c r="AK56" s="374"/>
      <c r="AL56" s="374"/>
      <c r="AM56" s="374"/>
      <c r="AN56" s="374"/>
      <c r="AO56" s="374"/>
      <c r="AP56" s="374"/>
      <c r="AQ56" s="374"/>
      <c r="AR56" s="374"/>
      <c r="AS56" s="374"/>
      <c r="AT56" s="374"/>
      <c r="AU56" s="374"/>
      <c r="AV56" s="374"/>
    </row>
    <row r="57" spans="3:48" ht="16" x14ac:dyDescent="0.2">
      <c r="C57" s="374"/>
      <c r="D57" s="374"/>
      <c r="E57" s="374"/>
      <c r="F57" s="374"/>
      <c r="G57" s="374"/>
      <c r="H57" s="374"/>
      <c r="I57" s="374"/>
      <c r="J57" s="374"/>
      <c r="K57" s="374"/>
      <c r="L57" s="374"/>
      <c r="M57" s="374"/>
      <c r="N57" s="374"/>
      <c r="O57" s="374"/>
      <c r="P57" s="374"/>
      <c r="Q57" s="374"/>
      <c r="R57" s="374"/>
      <c r="S57" s="374"/>
      <c r="T57" s="374"/>
      <c r="U57" s="374"/>
      <c r="V57" s="374"/>
      <c r="W57" s="374"/>
      <c r="X57" s="374"/>
      <c r="Y57" s="374"/>
      <c r="Z57" s="374"/>
      <c r="AA57" s="374"/>
      <c r="AB57" s="374"/>
      <c r="AC57" s="374"/>
      <c r="AD57" s="374"/>
      <c r="AE57" s="374"/>
      <c r="AF57" s="374"/>
      <c r="AG57" s="374"/>
      <c r="AH57" s="374"/>
      <c r="AI57" s="374"/>
      <c r="AJ57" s="374"/>
      <c r="AK57" s="374"/>
      <c r="AL57" s="374"/>
      <c r="AM57" s="374"/>
      <c r="AN57" s="374"/>
      <c r="AO57" s="374"/>
      <c r="AP57" s="374"/>
      <c r="AQ57" s="374"/>
      <c r="AR57" s="374"/>
      <c r="AS57" s="374"/>
      <c r="AT57" s="374"/>
      <c r="AU57" s="374"/>
      <c r="AV57" s="374"/>
    </row>
  </sheetData>
  <sheetProtection algorithmName="SHA-512" hashValue="6XPIG4m0cZskSiim73XERIYaD/uy35E09T9AzXhA3bXwXvd6bO9pinOULRkZJ2Pwrw/MXD+wCwiFhSJxbX25yg==" saltValue="XZJIgdTxgyEhG3uQqmKFrg==" spinCount="100000" sheet="1" objects="1" scenarios="1"/>
  <mergeCells count="5">
    <mergeCell ref="AU2:AV4"/>
    <mergeCell ref="BD2:BD8"/>
    <mergeCell ref="BN2:BN8"/>
    <mergeCell ref="BA6:BB6"/>
    <mergeCell ref="BA7:BB8"/>
  </mergeCells>
  <hyperlinks>
    <hyperlink ref="BA6:BB6" r:id="rId1" display="SCIAN 722511" xr:uid="{4567E51C-00E1-2C4D-A516-68871882D28F}"/>
  </hyperlinks>
  <pageMargins left="0.75000000000000011" right="0.75000000000000011" top="1" bottom="1" header="0.49" footer="0.49"/>
  <pageSetup paperSize="5" scale="40" orientation="landscape"/>
  <headerFooter>
    <oddFooter>&amp;C&amp;K000000Budget et indicateurs de performance (430-763-Me)</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Calendrier 2023</vt:lpstr>
      <vt:lpstr>Achalandage journalier</vt:lpstr>
      <vt:lpstr>% Occupation</vt:lpstr>
      <vt:lpstr>Calcul CmO et PmO</vt:lpstr>
      <vt:lpstr>Calcul CmO, PmO, Etc.</vt:lpstr>
      <vt:lpstr>Formule pour le calcul D</vt:lpstr>
      <vt:lpstr>État des Résultats</vt:lpstr>
      <vt:lpstr>'État des Résultats'!Zone_d_impression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Latour</dc:creator>
  <cp:lastModifiedBy>Microsoft Office User</cp:lastModifiedBy>
  <dcterms:created xsi:type="dcterms:W3CDTF">2022-02-22T21:37:17Z</dcterms:created>
  <dcterms:modified xsi:type="dcterms:W3CDTF">2022-02-26T20:59:59Z</dcterms:modified>
</cp:coreProperties>
</file>