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defaultThemeVersion="166925"/>
  <mc:AlternateContent xmlns:mc="http://schemas.openxmlformats.org/markup-compatibility/2006">
    <mc:Choice Requires="x15">
      <x15ac:absPath xmlns:x15ac="http://schemas.microsoft.com/office/spreadsheetml/2010/11/ac" url="/Users/christianlatour/Library/Mobile Documents/com~apple~CloudDocs/COURS MÉRICI/Hiver 2022/Finance gaganante (430-853-ME)/Projet intégrateur (projet de développement)/"/>
    </mc:Choice>
  </mc:AlternateContent>
  <xr:revisionPtr revIDLastSave="0" documentId="8_{36998BCC-8116-5243-B302-BE1FB9CA603E}" xr6:coauthVersionLast="47" xr6:coauthVersionMax="47" xr10:uidLastSave="{00000000-0000-0000-0000-000000000000}"/>
  <bookViews>
    <workbookView xWindow="100" yWindow="680" windowWidth="51100" windowHeight="26400" xr2:uid="{57099813-C60D-9E4F-9064-DEFFBFDA23FD}"/>
  </bookViews>
  <sheets>
    <sheet name="Calcul CmO et PmO" sheetId="1" r:id="rId1"/>
  </sheets>
  <externalReferences>
    <externalReference r:id="rId2"/>
  </externalReferences>
  <definedNames>
    <definedName name="image1" localSheetId="0">#REF!</definedName>
    <definedName name="image1">#REF!</definedName>
    <definedName name="image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580" i="1" l="1"/>
  <c r="M600" i="1"/>
  <c r="M595" i="1"/>
  <c r="M580" i="1"/>
  <c r="M557" i="1"/>
  <c r="M552" i="1"/>
  <c r="M537" i="1"/>
  <c r="M514" i="1"/>
  <c r="M509" i="1"/>
  <c r="M494" i="1"/>
  <c r="M471" i="1"/>
  <c r="M466" i="1"/>
  <c r="M451" i="1"/>
  <c r="M428" i="1"/>
  <c r="M423" i="1"/>
  <c r="M408" i="1"/>
  <c r="M385" i="1"/>
  <c r="M380" i="1"/>
  <c r="M365" i="1"/>
  <c r="M342" i="1"/>
  <c r="M337" i="1"/>
  <c r="M322" i="1"/>
  <c r="M299" i="1"/>
  <c r="M294" i="1"/>
  <c r="M279" i="1"/>
  <c r="M256" i="1"/>
  <c r="M251" i="1"/>
  <c r="M236" i="1"/>
  <c r="M213" i="1"/>
  <c r="M208" i="1"/>
  <c r="M193" i="1"/>
  <c r="M170" i="1"/>
  <c r="M165" i="1"/>
  <c r="M150" i="1"/>
  <c r="M127" i="1"/>
  <c r="M122" i="1"/>
  <c r="M107" i="1"/>
  <c r="M84" i="1"/>
  <c r="M79" i="1"/>
  <c r="M64" i="1"/>
  <c r="M41" i="1"/>
  <c r="M36" i="1"/>
  <c r="F541" i="1" l="1"/>
  <c r="F542" i="1"/>
  <c r="F543" i="1"/>
  <c r="F544" i="1"/>
  <c r="F545" i="1"/>
  <c r="F546" i="1"/>
  <c r="F547" i="1"/>
  <c r="F548" i="1"/>
  <c r="F549" i="1"/>
  <c r="F550" i="1"/>
  <c r="F551" i="1"/>
  <c r="F540" i="1"/>
  <c r="F526" i="1"/>
  <c r="F527" i="1"/>
  <c r="F528" i="1"/>
  <c r="F529" i="1"/>
  <c r="F530" i="1"/>
  <c r="F531" i="1"/>
  <c r="F532" i="1"/>
  <c r="F533" i="1"/>
  <c r="F534" i="1"/>
  <c r="F535" i="1"/>
  <c r="F536" i="1"/>
  <c r="F525" i="1"/>
  <c r="E541" i="1"/>
  <c r="E542" i="1"/>
  <c r="E543" i="1"/>
  <c r="E544" i="1"/>
  <c r="E545" i="1"/>
  <c r="E546" i="1"/>
  <c r="E547" i="1"/>
  <c r="E548" i="1"/>
  <c r="E549" i="1"/>
  <c r="E550" i="1"/>
  <c r="E551" i="1"/>
  <c r="E540" i="1"/>
  <c r="E526" i="1"/>
  <c r="E527" i="1"/>
  <c r="E528" i="1"/>
  <c r="E529" i="1"/>
  <c r="E530" i="1"/>
  <c r="E531" i="1"/>
  <c r="E532" i="1"/>
  <c r="E533" i="1"/>
  <c r="E534" i="1"/>
  <c r="E535" i="1"/>
  <c r="E536" i="1"/>
  <c r="E525" i="1"/>
  <c r="E568" i="1"/>
  <c r="D557" i="1"/>
  <c r="D556" i="1"/>
  <c r="H555" i="1"/>
  <c r="G555" i="1"/>
  <c r="F555" i="1"/>
  <c r="E555" i="1"/>
  <c r="D552" i="1"/>
  <c r="D537" i="1"/>
  <c r="J593" i="1"/>
  <c r="J586" i="1"/>
  <c r="J583" i="1"/>
  <c r="J578" i="1"/>
  <c r="J571" i="1"/>
  <c r="J568" i="1"/>
  <c r="J421" i="1"/>
  <c r="J414" i="1"/>
  <c r="J411" i="1"/>
  <c r="J406" i="1"/>
  <c r="J399" i="1"/>
  <c r="J396" i="1"/>
  <c r="J292" i="1"/>
  <c r="J285" i="1"/>
  <c r="J282" i="1"/>
  <c r="J277" i="1"/>
  <c r="J270" i="1"/>
  <c r="J267" i="1"/>
  <c r="F181" i="1"/>
  <c r="F224" i="1" s="1"/>
  <c r="F267" i="1" s="1"/>
  <c r="J163" i="1"/>
  <c r="J156" i="1"/>
  <c r="J153" i="1"/>
  <c r="J148" i="1"/>
  <c r="J141" i="1"/>
  <c r="J138" i="1"/>
  <c r="I138" i="1"/>
  <c r="I140" i="1" s="1"/>
  <c r="I141" i="1" s="1"/>
  <c r="D84" i="1"/>
  <c r="D127" i="1" s="1"/>
  <c r="D170" i="1" s="1"/>
  <c r="D213" i="1" s="1"/>
  <c r="D256" i="1" s="1"/>
  <c r="D299" i="1" s="1"/>
  <c r="D342" i="1" s="1"/>
  <c r="D385" i="1" s="1"/>
  <c r="D428" i="1" s="1"/>
  <c r="D471" i="1" s="1"/>
  <c r="D514" i="1" s="1"/>
  <c r="D600" i="1" s="1"/>
  <c r="D83" i="1"/>
  <c r="D126" i="1" s="1"/>
  <c r="D169" i="1" s="1"/>
  <c r="D212" i="1" s="1"/>
  <c r="D255" i="1" s="1"/>
  <c r="D298" i="1" s="1"/>
  <c r="D341" i="1" s="1"/>
  <c r="D384" i="1" s="1"/>
  <c r="D427" i="1" s="1"/>
  <c r="D470" i="1" s="1"/>
  <c r="D513" i="1" s="1"/>
  <c r="D599" i="1" s="1"/>
  <c r="H82" i="1"/>
  <c r="H125" i="1" s="1"/>
  <c r="H168" i="1" s="1"/>
  <c r="H211" i="1" s="1"/>
  <c r="H254" i="1" s="1"/>
  <c r="H297" i="1" s="1"/>
  <c r="H340" i="1" s="1"/>
  <c r="H383" i="1" s="1"/>
  <c r="H426" i="1" s="1"/>
  <c r="H469" i="1" s="1"/>
  <c r="H512" i="1" s="1"/>
  <c r="H598" i="1" s="1"/>
  <c r="G82" i="1"/>
  <c r="G125" i="1" s="1"/>
  <c r="G168" i="1" s="1"/>
  <c r="G211" i="1" s="1"/>
  <c r="G254" i="1" s="1"/>
  <c r="G297" i="1" s="1"/>
  <c r="G340" i="1" s="1"/>
  <c r="G383" i="1" s="1"/>
  <c r="G426" i="1" s="1"/>
  <c r="G469" i="1" s="1"/>
  <c r="G512" i="1" s="1"/>
  <c r="G598" i="1" s="1"/>
  <c r="F82" i="1"/>
  <c r="F125" i="1" s="1"/>
  <c r="F168" i="1" s="1"/>
  <c r="F211" i="1" s="1"/>
  <c r="F254" i="1" s="1"/>
  <c r="F297" i="1" s="1"/>
  <c r="F340" i="1" s="1"/>
  <c r="F383" i="1" s="1"/>
  <c r="F426" i="1" s="1"/>
  <c r="F469" i="1" s="1"/>
  <c r="F512" i="1" s="1"/>
  <c r="F598" i="1" s="1"/>
  <c r="E82" i="1"/>
  <c r="E125" i="1" s="1"/>
  <c r="E168" i="1" s="1"/>
  <c r="E211" i="1" s="1"/>
  <c r="E254" i="1" s="1"/>
  <c r="E297" i="1" s="1"/>
  <c r="E340" i="1" s="1"/>
  <c r="E383" i="1" s="1"/>
  <c r="E426" i="1" s="1"/>
  <c r="E469" i="1" s="1"/>
  <c r="E512" i="1" s="1"/>
  <c r="E598" i="1" s="1"/>
  <c r="D79" i="1"/>
  <c r="D122" i="1" s="1"/>
  <c r="D165" i="1" s="1"/>
  <c r="D208" i="1" s="1"/>
  <c r="D251" i="1" s="1"/>
  <c r="D294" i="1" s="1"/>
  <c r="D337" i="1" s="1"/>
  <c r="D380" i="1" s="1"/>
  <c r="D423" i="1" s="1"/>
  <c r="D466" i="1" s="1"/>
  <c r="D509" i="1" s="1"/>
  <c r="D595" i="1" s="1"/>
  <c r="D78" i="1"/>
  <c r="D121" i="1" s="1"/>
  <c r="D164" i="1" s="1"/>
  <c r="D207" i="1" s="1"/>
  <c r="D250" i="1" s="1"/>
  <c r="D293" i="1" s="1"/>
  <c r="D336" i="1" s="1"/>
  <c r="D379" i="1" s="1"/>
  <c r="D422" i="1" s="1"/>
  <c r="D465" i="1" s="1"/>
  <c r="D508" i="1" s="1"/>
  <c r="D594" i="1" s="1"/>
  <c r="C78" i="1"/>
  <c r="B78" i="1"/>
  <c r="B121" i="1" s="1"/>
  <c r="B164" i="1" s="1"/>
  <c r="B207" i="1" s="1"/>
  <c r="B250" i="1" s="1"/>
  <c r="B293" i="1" s="1"/>
  <c r="B336" i="1" s="1"/>
  <c r="B379" i="1" s="1"/>
  <c r="B422" i="1" s="1"/>
  <c r="B465" i="1" s="1"/>
  <c r="B508" i="1" s="1"/>
  <c r="B594" i="1" s="1"/>
  <c r="D77" i="1"/>
  <c r="D120" i="1" s="1"/>
  <c r="D163" i="1" s="1"/>
  <c r="D206" i="1" s="1"/>
  <c r="D249" i="1" s="1"/>
  <c r="D292" i="1" s="1"/>
  <c r="D335" i="1" s="1"/>
  <c r="D378" i="1" s="1"/>
  <c r="D421" i="1" s="1"/>
  <c r="D464" i="1" s="1"/>
  <c r="D507" i="1" s="1"/>
  <c r="D593" i="1" s="1"/>
  <c r="C77" i="1"/>
  <c r="C120" i="1" s="1"/>
  <c r="C163" i="1" s="1"/>
  <c r="C206" i="1" s="1"/>
  <c r="C249" i="1" s="1"/>
  <c r="C292" i="1" s="1"/>
  <c r="C335" i="1" s="1"/>
  <c r="C378" i="1" s="1"/>
  <c r="C421" i="1" s="1"/>
  <c r="C464" i="1" s="1"/>
  <c r="C507" i="1" s="1"/>
  <c r="C593" i="1" s="1"/>
  <c r="B77" i="1"/>
  <c r="B120" i="1" s="1"/>
  <c r="B163" i="1" s="1"/>
  <c r="B206" i="1" s="1"/>
  <c r="B249" i="1" s="1"/>
  <c r="B292" i="1" s="1"/>
  <c r="B335" i="1" s="1"/>
  <c r="B378" i="1" s="1"/>
  <c r="B421" i="1" s="1"/>
  <c r="B464" i="1" s="1"/>
  <c r="B507" i="1" s="1"/>
  <c r="B593" i="1" s="1"/>
  <c r="D76" i="1"/>
  <c r="D119" i="1" s="1"/>
  <c r="D162" i="1" s="1"/>
  <c r="D205" i="1" s="1"/>
  <c r="D248" i="1" s="1"/>
  <c r="D291" i="1" s="1"/>
  <c r="D334" i="1" s="1"/>
  <c r="D377" i="1" s="1"/>
  <c r="D420" i="1" s="1"/>
  <c r="D463" i="1" s="1"/>
  <c r="D506" i="1" s="1"/>
  <c r="D592" i="1" s="1"/>
  <c r="C76" i="1"/>
  <c r="C119" i="1" s="1"/>
  <c r="C162" i="1" s="1"/>
  <c r="C205" i="1" s="1"/>
  <c r="C248" i="1" s="1"/>
  <c r="C291" i="1" s="1"/>
  <c r="C334" i="1" s="1"/>
  <c r="C377" i="1" s="1"/>
  <c r="C420" i="1" s="1"/>
  <c r="C463" i="1" s="1"/>
  <c r="C506" i="1" s="1"/>
  <c r="C592" i="1" s="1"/>
  <c r="B76" i="1"/>
  <c r="B119" i="1" s="1"/>
  <c r="B162" i="1" s="1"/>
  <c r="B205" i="1" s="1"/>
  <c r="B248" i="1" s="1"/>
  <c r="B291" i="1" s="1"/>
  <c r="B334" i="1" s="1"/>
  <c r="B377" i="1" s="1"/>
  <c r="B420" i="1" s="1"/>
  <c r="B463" i="1" s="1"/>
  <c r="B506" i="1" s="1"/>
  <c r="B592" i="1" s="1"/>
  <c r="D75" i="1"/>
  <c r="D118" i="1" s="1"/>
  <c r="D161" i="1" s="1"/>
  <c r="D204" i="1" s="1"/>
  <c r="D247" i="1" s="1"/>
  <c r="D290" i="1" s="1"/>
  <c r="D333" i="1" s="1"/>
  <c r="D376" i="1" s="1"/>
  <c r="D419" i="1" s="1"/>
  <c r="D462" i="1" s="1"/>
  <c r="D505" i="1" s="1"/>
  <c r="D591" i="1" s="1"/>
  <c r="C75" i="1"/>
  <c r="C118" i="1" s="1"/>
  <c r="C161" i="1" s="1"/>
  <c r="C204" i="1" s="1"/>
  <c r="C247" i="1" s="1"/>
  <c r="C290" i="1" s="1"/>
  <c r="C333" i="1" s="1"/>
  <c r="C376" i="1" s="1"/>
  <c r="C419" i="1" s="1"/>
  <c r="C462" i="1" s="1"/>
  <c r="C505" i="1" s="1"/>
  <c r="C591" i="1" s="1"/>
  <c r="B75" i="1"/>
  <c r="B118" i="1" s="1"/>
  <c r="B161" i="1" s="1"/>
  <c r="B204" i="1" s="1"/>
  <c r="B247" i="1" s="1"/>
  <c r="B290" i="1" s="1"/>
  <c r="B333" i="1" s="1"/>
  <c r="B376" i="1" s="1"/>
  <c r="B419" i="1" s="1"/>
  <c r="B462" i="1" s="1"/>
  <c r="B505" i="1" s="1"/>
  <c r="B591" i="1" s="1"/>
  <c r="D74" i="1"/>
  <c r="D117" i="1" s="1"/>
  <c r="D160" i="1" s="1"/>
  <c r="D203" i="1" s="1"/>
  <c r="D246" i="1" s="1"/>
  <c r="D289" i="1" s="1"/>
  <c r="D332" i="1" s="1"/>
  <c r="D375" i="1" s="1"/>
  <c r="D418" i="1" s="1"/>
  <c r="D461" i="1" s="1"/>
  <c r="D504" i="1" s="1"/>
  <c r="D590" i="1" s="1"/>
  <c r="C74" i="1"/>
  <c r="C117" i="1" s="1"/>
  <c r="C160" i="1" s="1"/>
  <c r="C203" i="1" s="1"/>
  <c r="C246" i="1" s="1"/>
  <c r="C289" i="1" s="1"/>
  <c r="C332" i="1" s="1"/>
  <c r="C375" i="1" s="1"/>
  <c r="C418" i="1" s="1"/>
  <c r="C461" i="1" s="1"/>
  <c r="C504" i="1" s="1"/>
  <c r="C590" i="1" s="1"/>
  <c r="B74" i="1"/>
  <c r="B117" i="1" s="1"/>
  <c r="B160" i="1" s="1"/>
  <c r="B203" i="1" s="1"/>
  <c r="B246" i="1" s="1"/>
  <c r="B289" i="1" s="1"/>
  <c r="B332" i="1" s="1"/>
  <c r="B375" i="1" s="1"/>
  <c r="B418" i="1" s="1"/>
  <c r="B461" i="1" s="1"/>
  <c r="B504" i="1" s="1"/>
  <c r="B590" i="1" s="1"/>
  <c r="D73" i="1"/>
  <c r="D116" i="1" s="1"/>
  <c r="D159" i="1" s="1"/>
  <c r="D202" i="1" s="1"/>
  <c r="D245" i="1" s="1"/>
  <c r="D288" i="1" s="1"/>
  <c r="D331" i="1" s="1"/>
  <c r="D374" i="1" s="1"/>
  <c r="D417" i="1" s="1"/>
  <c r="D460" i="1" s="1"/>
  <c r="D503" i="1" s="1"/>
  <c r="D589" i="1" s="1"/>
  <c r="C73" i="1"/>
  <c r="C116" i="1" s="1"/>
  <c r="C159" i="1" s="1"/>
  <c r="C202" i="1" s="1"/>
  <c r="C245" i="1" s="1"/>
  <c r="C288" i="1" s="1"/>
  <c r="C331" i="1" s="1"/>
  <c r="C374" i="1" s="1"/>
  <c r="C417" i="1" s="1"/>
  <c r="C460" i="1" s="1"/>
  <c r="C503" i="1" s="1"/>
  <c r="C589" i="1" s="1"/>
  <c r="B73" i="1"/>
  <c r="B116" i="1" s="1"/>
  <c r="B159" i="1" s="1"/>
  <c r="B202" i="1" s="1"/>
  <c r="B245" i="1" s="1"/>
  <c r="B288" i="1" s="1"/>
  <c r="B331" i="1" s="1"/>
  <c r="B374" i="1" s="1"/>
  <c r="B417" i="1" s="1"/>
  <c r="B460" i="1" s="1"/>
  <c r="B503" i="1" s="1"/>
  <c r="B589" i="1" s="1"/>
  <c r="D72" i="1"/>
  <c r="D115" i="1" s="1"/>
  <c r="D158" i="1" s="1"/>
  <c r="D201" i="1" s="1"/>
  <c r="D244" i="1" s="1"/>
  <c r="D287" i="1" s="1"/>
  <c r="D330" i="1" s="1"/>
  <c r="D373" i="1" s="1"/>
  <c r="D416" i="1" s="1"/>
  <c r="D459" i="1" s="1"/>
  <c r="D502" i="1" s="1"/>
  <c r="D588" i="1" s="1"/>
  <c r="C72" i="1"/>
  <c r="C115" i="1" s="1"/>
  <c r="C158" i="1" s="1"/>
  <c r="C201" i="1" s="1"/>
  <c r="C244" i="1" s="1"/>
  <c r="C287" i="1" s="1"/>
  <c r="C330" i="1" s="1"/>
  <c r="C373" i="1" s="1"/>
  <c r="C416" i="1" s="1"/>
  <c r="C459" i="1" s="1"/>
  <c r="C502" i="1" s="1"/>
  <c r="C588" i="1" s="1"/>
  <c r="B72" i="1"/>
  <c r="B115" i="1" s="1"/>
  <c r="B158" i="1" s="1"/>
  <c r="B201" i="1" s="1"/>
  <c r="B244" i="1" s="1"/>
  <c r="B287" i="1" s="1"/>
  <c r="B330" i="1" s="1"/>
  <c r="B373" i="1" s="1"/>
  <c r="B416" i="1" s="1"/>
  <c r="B459" i="1" s="1"/>
  <c r="B502" i="1" s="1"/>
  <c r="B588" i="1" s="1"/>
  <c r="D71" i="1"/>
  <c r="D114" i="1" s="1"/>
  <c r="D157" i="1" s="1"/>
  <c r="D200" i="1" s="1"/>
  <c r="D243" i="1" s="1"/>
  <c r="D286" i="1" s="1"/>
  <c r="D329" i="1" s="1"/>
  <c r="D372" i="1" s="1"/>
  <c r="D415" i="1" s="1"/>
  <c r="D458" i="1" s="1"/>
  <c r="D501" i="1" s="1"/>
  <c r="D587" i="1" s="1"/>
  <c r="C71" i="1"/>
  <c r="C114" i="1" s="1"/>
  <c r="C157" i="1" s="1"/>
  <c r="C200" i="1" s="1"/>
  <c r="C243" i="1" s="1"/>
  <c r="C286" i="1" s="1"/>
  <c r="C329" i="1" s="1"/>
  <c r="C372" i="1" s="1"/>
  <c r="C415" i="1" s="1"/>
  <c r="C458" i="1" s="1"/>
  <c r="C501" i="1" s="1"/>
  <c r="C587" i="1" s="1"/>
  <c r="B71" i="1"/>
  <c r="B114" i="1" s="1"/>
  <c r="B157" i="1" s="1"/>
  <c r="B200" i="1" s="1"/>
  <c r="B243" i="1" s="1"/>
  <c r="B286" i="1" s="1"/>
  <c r="B329" i="1" s="1"/>
  <c r="B372" i="1" s="1"/>
  <c r="B415" i="1" s="1"/>
  <c r="B458" i="1" s="1"/>
  <c r="B501" i="1" s="1"/>
  <c r="B587" i="1" s="1"/>
  <c r="D70" i="1"/>
  <c r="D113" i="1" s="1"/>
  <c r="D156" i="1" s="1"/>
  <c r="D199" i="1" s="1"/>
  <c r="D242" i="1" s="1"/>
  <c r="D285" i="1" s="1"/>
  <c r="D328" i="1" s="1"/>
  <c r="D371" i="1" s="1"/>
  <c r="D414" i="1" s="1"/>
  <c r="D457" i="1" s="1"/>
  <c r="D500" i="1" s="1"/>
  <c r="D586" i="1" s="1"/>
  <c r="C70" i="1"/>
  <c r="C113" i="1" s="1"/>
  <c r="C156" i="1" s="1"/>
  <c r="C199" i="1" s="1"/>
  <c r="C242" i="1" s="1"/>
  <c r="C285" i="1" s="1"/>
  <c r="C328" i="1" s="1"/>
  <c r="C371" i="1" s="1"/>
  <c r="C414" i="1" s="1"/>
  <c r="C457" i="1" s="1"/>
  <c r="C500" i="1" s="1"/>
  <c r="C586" i="1" s="1"/>
  <c r="B70" i="1"/>
  <c r="B113" i="1" s="1"/>
  <c r="B156" i="1" s="1"/>
  <c r="B199" i="1" s="1"/>
  <c r="B242" i="1" s="1"/>
  <c r="B285" i="1" s="1"/>
  <c r="B328" i="1" s="1"/>
  <c r="B371" i="1" s="1"/>
  <c r="B414" i="1" s="1"/>
  <c r="B457" i="1" s="1"/>
  <c r="B500" i="1" s="1"/>
  <c r="B586" i="1" s="1"/>
  <c r="D69" i="1"/>
  <c r="D112" i="1" s="1"/>
  <c r="D155" i="1" s="1"/>
  <c r="D198" i="1" s="1"/>
  <c r="D241" i="1" s="1"/>
  <c r="D284" i="1" s="1"/>
  <c r="D327" i="1" s="1"/>
  <c r="D370" i="1" s="1"/>
  <c r="D413" i="1" s="1"/>
  <c r="D456" i="1" s="1"/>
  <c r="D499" i="1" s="1"/>
  <c r="D585" i="1" s="1"/>
  <c r="C69" i="1"/>
  <c r="C112" i="1" s="1"/>
  <c r="C155" i="1" s="1"/>
  <c r="C198" i="1" s="1"/>
  <c r="C241" i="1" s="1"/>
  <c r="C284" i="1" s="1"/>
  <c r="C327" i="1" s="1"/>
  <c r="C370" i="1" s="1"/>
  <c r="C413" i="1" s="1"/>
  <c r="C456" i="1" s="1"/>
  <c r="C499" i="1" s="1"/>
  <c r="C585" i="1" s="1"/>
  <c r="B69" i="1"/>
  <c r="B112" i="1" s="1"/>
  <c r="B155" i="1" s="1"/>
  <c r="B198" i="1" s="1"/>
  <c r="B241" i="1" s="1"/>
  <c r="B284" i="1" s="1"/>
  <c r="B327" i="1" s="1"/>
  <c r="B370" i="1" s="1"/>
  <c r="B413" i="1" s="1"/>
  <c r="B456" i="1" s="1"/>
  <c r="B499" i="1" s="1"/>
  <c r="B585" i="1" s="1"/>
  <c r="D68" i="1"/>
  <c r="D111" i="1" s="1"/>
  <c r="D154" i="1" s="1"/>
  <c r="D197" i="1" s="1"/>
  <c r="D240" i="1" s="1"/>
  <c r="D283" i="1" s="1"/>
  <c r="D326" i="1" s="1"/>
  <c r="D369" i="1" s="1"/>
  <c r="D412" i="1" s="1"/>
  <c r="D455" i="1" s="1"/>
  <c r="D498" i="1" s="1"/>
  <c r="D584" i="1" s="1"/>
  <c r="C68" i="1"/>
  <c r="C111" i="1" s="1"/>
  <c r="C154" i="1" s="1"/>
  <c r="C197" i="1" s="1"/>
  <c r="C240" i="1" s="1"/>
  <c r="C283" i="1" s="1"/>
  <c r="C326" i="1" s="1"/>
  <c r="C369" i="1" s="1"/>
  <c r="C412" i="1" s="1"/>
  <c r="C455" i="1" s="1"/>
  <c r="C498" i="1" s="1"/>
  <c r="C584" i="1" s="1"/>
  <c r="B68" i="1"/>
  <c r="B111" i="1" s="1"/>
  <c r="B154" i="1" s="1"/>
  <c r="B197" i="1" s="1"/>
  <c r="B240" i="1" s="1"/>
  <c r="B283" i="1" s="1"/>
  <c r="B326" i="1" s="1"/>
  <c r="B369" i="1" s="1"/>
  <c r="B412" i="1" s="1"/>
  <c r="B455" i="1" s="1"/>
  <c r="B498" i="1" s="1"/>
  <c r="B584" i="1" s="1"/>
  <c r="D67" i="1"/>
  <c r="D110" i="1" s="1"/>
  <c r="D153" i="1" s="1"/>
  <c r="D196" i="1" s="1"/>
  <c r="D239" i="1" s="1"/>
  <c r="D282" i="1" s="1"/>
  <c r="D325" i="1" s="1"/>
  <c r="D368" i="1" s="1"/>
  <c r="D411" i="1" s="1"/>
  <c r="D454" i="1" s="1"/>
  <c r="D497" i="1" s="1"/>
  <c r="D583" i="1" s="1"/>
  <c r="C67" i="1"/>
  <c r="C110" i="1" s="1"/>
  <c r="C153" i="1" s="1"/>
  <c r="C196" i="1" s="1"/>
  <c r="C239" i="1" s="1"/>
  <c r="C282" i="1" s="1"/>
  <c r="C325" i="1" s="1"/>
  <c r="C368" i="1" s="1"/>
  <c r="C411" i="1" s="1"/>
  <c r="C454" i="1" s="1"/>
  <c r="C497" i="1" s="1"/>
  <c r="C583" i="1" s="1"/>
  <c r="B67" i="1"/>
  <c r="B110" i="1" s="1"/>
  <c r="B153" i="1" s="1"/>
  <c r="B196" i="1" s="1"/>
  <c r="B239" i="1" s="1"/>
  <c r="B282" i="1" s="1"/>
  <c r="B325" i="1" s="1"/>
  <c r="B368" i="1" s="1"/>
  <c r="B411" i="1" s="1"/>
  <c r="B454" i="1" s="1"/>
  <c r="B497" i="1" s="1"/>
  <c r="B583" i="1" s="1"/>
  <c r="D66" i="1"/>
  <c r="D109" i="1" s="1"/>
  <c r="D152" i="1" s="1"/>
  <c r="D195" i="1" s="1"/>
  <c r="D238" i="1" s="1"/>
  <c r="D281" i="1" s="1"/>
  <c r="D324" i="1" s="1"/>
  <c r="D367" i="1" s="1"/>
  <c r="D410" i="1" s="1"/>
  <c r="D453" i="1" s="1"/>
  <c r="D496" i="1" s="1"/>
  <c r="D582" i="1" s="1"/>
  <c r="D64" i="1"/>
  <c r="D107" i="1" s="1"/>
  <c r="D150" i="1" s="1"/>
  <c r="D193" i="1" s="1"/>
  <c r="D236" i="1" s="1"/>
  <c r="D279" i="1" s="1"/>
  <c r="D322" i="1" s="1"/>
  <c r="D365" i="1" s="1"/>
  <c r="D408" i="1" s="1"/>
  <c r="D451" i="1" s="1"/>
  <c r="D494" i="1" s="1"/>
  <c r="D580" i="1" s="1"/>
  <c r="F63" i="1"/>
  <c r="F106" i="1" s="1"/>
  <c r="E63" i="1"/>
  <c r="D63" i="1"/>
  <c r="D106" i="1" s="1"/>
  <c r="D149" i="1" s="1"/>
  <c r="D192" i="1" s="1"/>
  <c r="D235" i="1" s="1"/>
  <c r="D278" i="1" s="1"/>
  <c r="D321" i="1" s="1"/>
  <c r="D364" i="1" s="1"/>
  <c r="D407" i="1" s="1"/>
  <c r="D450" i="1" s="1"/>
  <c r="D493" i="1" s="1"/>
  <c r="D579" i="1" s="1"/>
  <c r="C63" i="1"/>
  <c r="C106" i="1" s="1"/>
  <c r="B63" i="1"/>
  <c r="B106" i="1" s="1"/>
  <c r="B149" i="1" s="1"/>
  <c r="B192" i="1" s="1"/>
  <c r="B235" i="1" s="1"/>
  <c r="B278" i="1" s="1"/>
  <c r="B321" i="1" s="1"/>
  <c r="B364" i="1" s="1"/>
  <c r="B407" i="1" s="1"/>
  <c r="B450" i="1" s="1"/>
  <c r="B493" i="1" s="1"/>
  <c r="B579" i="1" s="1"/>
  <c r="F62" i="1"/>
  <c r="E62" i="1"/>
  <c r="E105" i="1" s="1"/>
  <c r="D62" i="1"/>
  <c r="D105" i="1" s="1"/>
  <c r="D148" i="1" s="1"/>
  <c r="D191" i="1" s="1"/>
  <c r="D234" i="1" s="1"/>
  <c r="D277" i="1" s="1"/>
  <c r="D320" i="1" s="1"/>
  <c r="D363" i="1" s="1"/>
  <c r="D406" i="1" s="1"/>
  <c r="D449" i="1" s="1"/>
  <c r="D492" i="1" s="1"/>
  <c r="D578" i="1" s="1"/>
  <c r="C62" i="1"/>
  <c r="C105" i="1" s="1"/>
  <c r="C148" i="1" s="1"/>
  <c r="C191" i="1" s="1"/>
  <c r="C234" i="1" s="1"/>
  <c r="C277" i="1" s="1"/>
  <c r="C320" i="1" s="1"/>
  <c r="C363" i="1" s="1"/>
  <c r="C406" i="1" s="1"/>
  <c r="C449" i="1" s="1"/>
  <c r="C492" i="1" s="1"/>
  <c r="C578" i="1" s="1"/>
  <c r="B62" i="1"/>
  <c r="B105" i="1" s="1"/>
  <c r="B148" i="1" s="1"/>
  <c r="B191" i="1" s="1"/>
  <c r="B234" i="1" s="1"/>
  <c r="B277" i="1" s="1"/>
  <c r="B320" i="1" s="1"/>
  <c r="B363" i="1" s="1"/>
  <c r="B406" i="1" s="1"/>
  <c r="B449" i="1" s="1"/>
  <c r="B492" i="1" s="1"/>
  <c r="B578" i="1" s="1"/>
  <c r="F61" i="1"/>
  <c r="E61" i="1"/>
  <c r="E104" i="1" s="1"/>
  <c r="D61" i="1"/>
  <c r="D104" i="1" s="1"/>
  <c r="D147" i="1" s="1"/>
  <c r="D190" i="1" s="1"/>
  <c r="D233" i="1" s="1"/>
  <c r="D276" i="1" s="1"/>
  <c r="D319" i="1" s="1"/>
  <c r="D362" i="1" s="1"/>
  <c r="D405" i="1" s="1"/>
  <c r="D448" i="1" s="1"/>
  <c r="D491" i="1" s="1"/>
  <c r="D577" i="1" s="1"/>
  <c r="C61" i="1"/>
  <c r="C104" i="1" s="1"/>
  <c r="C147" i="1" s="1"/>
  <c r="C190" i="1" s="1"/>
  <c r="C233" i="1" s="1"/>
  <c r="C276" i="1" s="1"/>
  <c r="C319" i="1" s="1"/>
  <c r="C362" i="1" s="1"/>
  <c r="C405" i="1" s="1"/>
  <c r="C448" i="1" s="1"/>
  <c r="C491" i="1" s="1"/>
  <c r="C577" i="1" s="1"/>
  <c r="B61" i="1"/>
  <c r="B104" i="1" s="1"/>
  <c r="B147" i="1" s="1"/>
  <c r="B190" i="1" s="1"/>
  <c r="B233" i="1" s="1"/>
  <c r="B276" i="1" s="1"/>
  <c r="B319" i="1" s="1"/>
  <c r="B362" i="1" s="1"/>
  <c r="B405" i="1" s="1"/>
  <c r="B448" i="1" s="1"/>
  <c r="B491" i="1" s="1"/>
  <c r="B577" i="1" s="1"/>
  <c r="F60" i="1"/>
  <c r="E60" i="1"/>
  <c r="D60" i="1"/>
  <c r="D103" i="1" s="1"/>
  <c r="D146" i="1" s="1"/>
  <c r="D189" i="1" s="1"/>
  <c r="D232" i="1" s="1"/>
  <c r="D275" i="1" s="1"/>
  <c r="D318" i="1" s="1"/>
  <c r="D361" i="1" s="1"/>
  <c r="D404" i="1" s="1"/>
  <c r="D447" i="1" s="1"/>
  <c r="D490" i="1" s="1"/>
  <c r="D576" i="1" s="1"/>
  <c r="C60" i="1"/>
  <c r="C103" i="1" s="1"/>
  <c r="C146" i="1" s="1"/>
  <c r="C189" i="1" s="1"/>
  <c r="C232" i="1" s="1"/>
  <c r="C275" i="1" s="1"/>
  <c r="C318" i="1" s="1"/>
  <c r="C361" i="1" s="1"/>
  <c r="C404" i="1" s="1"/>
  <c r="C447" i="1" s="1"/>
  <c r="C490" i="1" s="1"/>
  <c r="C576" i="1" s="1"/>
  <c r="B60" i="1"/>
  <c r="B103" i="1" s="1"/>
  <c r="B146" i="1" s="1"/>
  <c r="B189" i="1" s="1"/>
  <c r="B232" i="1" s="1"/>
  <c r="B275" i="1" s="1"/>
  <c r="B318" i="1" s="1"/>
  <c r="B361" i="1" s="1"/>
  <c r="B404" i="1" s="1"/>
  <c r="B447" i="1" s="1"/>
  <c r="B490" i="1" s="1"/>
  <c r="B576" i="1" s="1"/>
  <c r="F59" i="1"/>
  <c r="E59" i="1"/>
  <c r="D59" i="1"/>
  <c r="D102" i="1" s="1"/>
  <c r="D145" i="1" s="1"/>
  <c r="D188" i="1" s="1"/>
  <c r="D231" i="1" s="1"/>
  <c r="D274" i="1" s="1"/>
  <c r="D317" i="1" s="1"/>
  <c r="D360" i="1" s="1"/>
  <c r="D403" i="1" s="1"/>
  <c r="D446" i="1" s="1"/>
  <c r="D489" i="1" s="1"/>
  <c r="D575" i="1" s="1"/>
  <c r="C59" i="1"/>
  <c r="C102" i="1" s="1"/>
  <c r="C145" i="1" s="1"/>
  <c r="C188" i="1" s="1"/>
  <c r="C231" i="1" s="1"/>
  <c r="C274" i="1" s="1"/>
  <c r="C317" i="1" s="1"/>
  <c r="C360" i="1" s="1"/>
  <c r="C403" i="1" s="1"/>
  <c r="C446" i="1" s="1"/>
  <c r="C489" i="1" s="1"/>
  <c r="C575" i="1" s="1"/>
  <c r="B59" i="1"/>
  <c r="B102" i="1" s="1"/>
  <c r="B145" i="1" s="1"/>
  <c r="B188" i="1" s="1"/>
  <c r="B231" i="1" s="1"/>
  <c r="B274" i="1" s="1"/>
  <c r="B317" i="1" s="1"/>
  <c r="B360" i="1" s="1"/>
  <c r="B403" i="1" s="1"/>
  <c r="B446" i="1" s="1"/>
  <c r="B489" i="1" s="1"/>
  <c r="B575" i="1" s="1"/>
  <c r="F58" i="1"/>
  <c r="E58" i="1"/>
  <c r="G58" i="1" s="1"/>
  <c r="D58" i="1"/>
  <c r="D101" i="1" s="1"/>
  <c r="D144" i="1" s="1"/>
  <c r="D187" i="1" s="1"/>
  <c r="D230" i="1" s="1"/>
  <c r="D273" i="1" s="1"/>
  <c r="D316" i="1" s="1"/>
  <c r="D359" i="1" s="1"/>
  <c r="D402" i="1" s="1"/>
  <c r="D445" i="1" s="1"/>
  <c r="D488" i="1" s="1"/>
  <c r="D574" i="1" s="1"/>
  <c r="C58" i="1"/>
  <c r="C101" i="1" s="1"/>
  <c r="C144" i="1" s="1"/>
  <c r="C187" i="1" s="1"/>
  <c r="C230" i="1" s="1"/>
  <c r="C273" i="1" s="1"/>
  <c r="C316" i="1" s="1"/>
  <c r="C359" i="1" s="1"/>
  <c r="C402" i="1" s="1"/>
  <c r="C445" i="1" s="1"/>
  <c r="C488" i="1" s="1"/>
  <c r="C574" i="1" s="1"/>
  <c r="B58" i="1"/>
  <c r="B101" i="1" s="1"/>
  <c r="B144" i="1" s="1"/>
  <c r="B187" i="1" s="1"/>
  <c r="B230" i="1" s="1"/>
  <c r="B273" i="1" s="1"/>
  <c r="B316" i="1" s="1"/>
  <c r="B359" i="1" s="1"/>
  <c r="B402" i="1" s="1"/>
  <c r="B445" i="1" s="1"/>
  <c r="B488" i="1" s="1"/>
  <c r="B574" i="1" s="1"/>
  <c r="F57" i="1"/>
  <c r="E57" i="1"/>
  <c r="D57" i="1"/>
  <c r="D100" i="1" s="1"/>
  <c r="D143" i="1" s="1"/>
  <c r="D186" i="1" s="1"/>
  <c r="D229" i="1" s="1"/>
  <c r="D272" i="1" s="1"/>
  <c r="D315" i="1" s="1"/>
  <c r="D358" i="1" s="1"/>
  <c r="D401" i="1" s="1"/>
  <c r="D444" i="1" s="1"/>
  <c r="D487" i="1" s="1"/>
  <c r="D573" i="1" s="1"/>
  <c r="C57" i="1"/>
  <c r="C100" i="1" s="1"/>
  <c r="C143" i="1" s="1"/>
  <c r="C186" i="1" s="1"/>
  <c r="C229" i="1" s="1"/>
  <c r="C272" i="1" s="1"/>
  <c r="C315" i="1" s="1"/>
  <c r="C358" i="1" s="1"/>
  <c r="C401" i="1" s="1"/>
  <c r="C444" i="1" s="1"/>
  <c r="C487" i="1" s="1"/>
  <c r="C573" i="1" s="1"/>
  <c r="B57" i="1"/>
  <c r="B100" i="1" s="1"/>
  <c r="B143" i="1" s="1"/>
  <c r="B186" i="1" s="1"/>
  <c r="B229" i="1" s="1"/>
  <c r="B272" i="1" s="1"/>
  <c r="B315" i="1" s="1"/>
  <c r="B358" i="1" s="1"/>
  <c r="B401" i="1" s="1"/>
  <c r="B444" i="1" s="1"/>
  <c r="B487" i="1" s="1"/>
  <c r="B573" i="1" s="1"/>
  <c r="F56" i="1"/>
  <c r="F99" i="1" s="1"/>
  <c r="F142" i="1" s="1"/>
  <c r="E56" i="1"/>
  <c r="D56" i="1"/>
  <c r="D99" i="1" s="1"/>
  <c r="D142" i="1" s="1"/>
  <c r="D185" i="1" s="1"/>
  <c r="D228" i="1" s="1"/>
  <c r="D271" i="1" s="1"/>
  <c r="D314" i="1" s="1"/>
  <c r="D357" i="1" s="1"/>
  <c r="D400" i="1" s="1"/>
  <c r="D443" i="1" s="1"/>
  <c r="D486" i="1" s="1"/>
  <c r="D572" i="1" s="1"/>
  <c r="C56" i="1"/>
  <c r="C99" i="1" s="1"/>
  <c r="C142" i="1" s="1"/>
  <c r="C185" i="1" s="1"/>
  <c r="C228" i="1" s="1"/>
  <c r="C271" i="1" s="1"/>
  <c r="C314" i="1" s="1"/>
  <c r="C357" i="1" s="1"/>
  <c r="C400" i="1" s="1"/>
  <c r="C443" i="1" s="1"/>
  <c r="C486" i="1" s="1"/>
  <c r="C572" i="1" s="1"/>
  <c r="B56" i="1"/>
  <c r="B99" i="1" s="1"/>
  <c r="B142" i="1" s="1"/>
  <c r="B185" i="1" s="1"/>
  <c r="B228" i="1" s="1"/>
  <c r="B271" i="1" s="1"/>
  <c r="B314" i="1" s="1"/>
  <c r="B357" i="1" s="1"/>
  <c r="B400" i="1" s="1"/>
  <c r="B443" i="1" s="1"/>
  <c r="B486" i="1" s="1"/>
  <c r="B572" i="1" s="1"/>
  <c r="F55" i="1"/>
  <c r="F98" i="1" s="1"/>
  <c r="E55" i="1"/>
  <c r="D55" i="1"/>
  <c r="D98" i="1" s="1"/>
  <c r="D141" i="1" s="1"/>
  <c r="D184" i="1" s="1"/>
  <c r="D227" i="1" s="1"/>
  <c r="D270" i="1" s="1"/>
  <c r="D313" i="1" s="1"/>
  <c r="D356" i="1" s="1"/>
  <c r="D399" i="1" s="1"/>
  <c r="D442" i="1" s="1"/>
  <c r="D485" i="1" s="1"/>
  <c r="D571" i="1" s="1"/>
  <c r="C55" i="1"/>
  <c r="C98" i="1" s="1"/>
  <c r="C141" i="1" s="1"/>
  <c r="C184" i="1" s="1"/>
  <c r="C227" i="1" s="1"/>
  <c r="C270" i="1" s="1"/>
  <c r="C313" i="1" s="1"/>
  <c r="C356" i="1" s="1"/>
  <c r="C399" i="1" s="1"/>
  <c r="C442" i="1" s="1"/>
  <c r="C485" i="1" s="1"/>
  <c r="C571" i="1" s="1"/>
  <c r="B55" i="1"/>
  <c r="B98" i="1" s="1"/>
  <c r="B141" i="1" s="1"/>
  <c r="B184" i="1" s="1"/>
  <c r="B227" i="1" s="1"/>
  <c r="B270" i="1" s="1"/>
  <c r="B313" i="1" s="1"/>
  <c r="B356" i="1" s="1"/>
  <c r="B399" i="1" s="1"/>
  <c r="B442" i="1" s="1"/>
  <c r="B485" i="1" s="1"/>
  <c r="B571" i="1" s="1"/>
  <c r="F54" i="1"/>
  <c r="E54" i="1"/>
  <c r="D54" i="1"/>
  <c r="D97" i="1" s="1"/>
  <c r="D140" i="1" s="1"/>
  <c r="D183" i="1" s="1"/>
  <c r="D226" i="1" s="1"/>
  <c r="D269" i="1" s="1"/>
  <c r="D312" i="1" s="1"/>
  <c r="D355" i="1" s="1"/>
  <c r="D398" i="1" s="1"/>
  <c r="D441" i="1" s="1"/>
  <c r="D484" i="1" s="1"/>
  <c r="D570" i="1" s="1"/>
  <c r="C54" i="1"/>
  <c r="C97" i="1" s="1"/>
  <c r="C140" i="1" s="1"/>
  <c r="C183" i="1" s="1"/>
  <c r="C226" i="1" s="1"/>
  <c r="C269" i="1" s="1"/>
  <c r="C312" i="1" s="1"/>
  <c r="C355" i="1" s="1"/>
  <c r="C398" i="1" s="1"/>
  <c r="C441" i="1" s="1"/>
  <c r="C484" i="1" s="1"/>
  <c r="C570" i="1" s="1"/>
  <c r="B54" i="1"/>
  <c r="B97" i="1" s="1"/>
  <c r="B140" i="1" s="1"/>
  <c r="B183" i="1" s="1"/>
  <c r="B226" i="1" s="1"/>
  <c r="B269" i="1" s="1"/>
  <c r="B312" i="1" s="1"/>
  <c r="B355" i="1" s="1"/>
  <c r="B398" i="1" s="1"/>
  <c r="B441" i="1" s="1"/>
  <c r="B484" i="1" s="1"/>
  <c r="B570" i="1" s="1"/>
  <c r="F53" i="1"/>
  <c r="E53" i="1"/>
  <c r="E96" i="1" s="1"/>
  <c r="E139" i="1" s="1"/>
  <c r="E182" i="1" s="1"/>
  <c r="D53" i="1"/>
  <c r="D96" i="1" s="1"/>
  <c r="D139" i="1" s="1"/>
  <c r="D182" i="1" s="1"/>
  <c r="D225" i="1" s="1"/>
  <c r="D268" i="1" s="1"/>
  <c r="D311" i="1" s="1"/>
  <c r="D354" i="1" s="1"/>
  <c r="D397" i="1" s="1"/>
  <c r="D440" i="1" s="1"/>
  <c r="D483" i="1" s="1"/>
  <c r="D569" i="1" s="1"/>
  <c r="C53" i="1"/>
  <c r="C96" i="1" s="1"/>
  <c r="C139" i="1" s="1"/>
  <c r="C182" i="1" s="1"/>
  <c r="C225" i="1" s="1"/>
  <c r="C268" i="1" s="1"/>
  <c r="C311" i="1" s="1"/>
  <c r="C354" i="1" s="1"/>
  <c r="C397" i="1" s="1"/>
  <c r="C440" i="1" s="1"/>
  <c r="C483" i="1" s="1"/>
  <c r="C569" i="1" s="1"/>
  <c r="B53" i="1"/>
  <c r="B96" i="1" s="1"/>
  <c r="B139" i="1" s="1"/>
  <c r="B182" i="1" s="1"/>
  <c r="B225" i="1" s="1"/>
  <c r="B268" i="1" s="1"/>
  <c r="B311" i="1" s="1"/>
  <c r="B354" i="1" s="1"/>
  <c r="B397" i="1" s="1"/>
  <c r="B440" i="1" s="1"/>
  <c r="B483" i="1" s="1"/>
  <c r="B569" i="1" s="1"/>
  <c r="F52" i="1"/>
  <c r="E52" i="1"/>
  <c r="D52" i="1"/>
  <c r="D95" i="1" s="1"/>
  <c r="D138" i="1" s="1"/>
  <c r="D181" i="1" s="1"/>
  <c r="D224" i="1" s="1"/>
  <c r="D267" i="1" s="1"/>
  <c r="D310" i="1" s="1"/>
  <c r="D353" i="1" s="1"/>
  <c r="D396" i="1" s="1"/>
  <c r="D439" i="1" s="1"/>
  <c r="D482" i="1" s="1"/>
  <c r="D568" i="1" s="1"/>
  <c r="C52" i="1"/>
  <c r="C95" i="1" s="1"/>
  <c r="C138" i="1" s="1"/>
  <c r="C181" i="1" s="1"/>
  <c r="C224" i="1" s="1"/>
  <c r="C267" i="1" s="1"/>
  <c r="C310" i="1" s="1"/>
  <c r="C353" i="1" s="1"/>
  <c r="C396" i="1" s="1"/>
  <c r="C439" i="1" s="1"/>
  <c r="C482" i="1" s="1"/>
  <c r="C568" i="1" s="1"/>
  <c r="B52" i="1"/>
  <c r="B95" i="1" s="1"/>
  <c r="B138" i="1" s="1"/>
  <c r="B181" i="1" s="1"/>
  <c r="B224" i="1" s="1"/>
  <c r="B267" i="1" s="1"/>
  <c r="B310" i="1" s="1"/>
  <c r="B353" i="1" s="1"/>
  <c r="B396" i="1" s="1"/>
  <c r="B439" i="1" s="1"/>
  <c r="B482" i="1" s="1"/>
  <c r="B568" i="1" s="1"/>
  <c r="D51" i="1"/>
  <c r="D94" i="1" s="1"/>
  <c r="D137" i="1" s="1"/>
  <c r="D180" i="1" s="1"/>
  <c r="D223" i="1" s="1"/>
  <c r="D266" i="1" s="1"/>
  <c r="D309" i="1" s="1"/>
  <c r="D352" i="1" s="1"/>
  <c r="D395" i="1" s="1"/>
  <c r="D438" i="1" s="1"/>
  <c r="D481" i="1" s="1"/>
  <c r="D567" i="1" s="1"/>
  <c r="H47" i="1"/>
  <c r="H90" i="1" s="1"/>
  <c r="H133" i="1" s="1"/>
  <c r="H176" i="1" s="1"/>
  <c r="H219" i="1" s="1"/>
  <c r="H262" i="1" s="1"/>
  <c r="H305" i="1" s="1"/>
  <c r="H348" i="1" s="1"/>
  <c r="H391" i="1" s="1"/>
  <c r="H434" i="1" s="1"/>
  <c r="H477" i="1" s="1"/>
  <c r="H563" i="1" s="1"/>
  <c r="G47" i="1"/>
  <c r="G90" i="1" s="1"/>
  <c r="G133" i="1" s="1"/>
  <c r="G176" i="1" s="1"/>
  <c r="G219" i="1" s="1"/>
  <c r="G262" i="1" s="1"/>
  <c r="G305" i="1" s="1"/>
  <c r="G348" i="1" s="1"/>
  <c r="G391" i="1" s="1"/>
  <c r="G434" i="1" s="1"/>
  <c r="G477" i="1" s="1"/>
  <c r="G563" i="1" s="1"/>
  <c r="F47" i="1"/>
  <c r="F90" i="1" s="1"/>
  <c r="F133" i="1" s="1"/>
  <c r="F176" i="1" s="1"/>
  <c r="F219" i="1" s="1"/>
  <c r="F262" i="1" s="1"/>
  <c r="F305" i="1" s="1"/>
  <c r="F348" i="1" s="1"/>
  <c r="F391" i="1" s="1"/>
  <c r="F434" i="1" s="1"/>
  <c r="F477" i="1" s="1"/>
  <c r="F563" i="1" s="1"/>
  <c r="E47" i="1"/>
  <c r="E90" i="1" s="1"/>
  <c r="E133" i="1" s="1"/>
  <c r="E176" i="1" s="1"/>
  <c r="E219" i="1" s="1"/>
  <c r="E262" i="1" s="1"/>
  <c r="E305" i="1" s="1"/>
  <c r="E348" i="1" s="1"/>
  <c r="E391" i="1" s="1"/>
  <c r="E434" i="1" s="1"/>
  <c r="E477" i="1" s="1"/>
  <c r="E563" i="1" s="1"/>
  <c r="L36" i="1"/>
  <c r="L595" i="1" s="1"/>
  <c r="L600" i="1" s="1"/>
  <c r="F618" i="1" s="1"/>
  <c r="F35" i="1"/>
  <c r="E35" i="1"/>
  <c r="E78" i="1" s="1"/>
  <c r="E121" i="1" s="1"/>
  <c r="J34" i="1"/>
  <c r="F34" i="1"/>
  <c r="E34" i="1"/>
  <c r="F33" i="1"/>
  <c r="F76" i="1" s="1"/>
  <c r="F119" i="1" s="1"/>
  <c r="E33" i="1"/>
  <c r="E76" i="1" s="1"/>
  <c r="E119" i="1" s="1"/>
  <c r="F32" i="1"/>
  <c r="F75" i="1" s="1"/>
  <c r="E32" i="1"/>
  <c r="E75" i="1" s="1"/>
  <c r="F31" i="1"/>
  <c r="E31" i="1"/>
  <c r="E74" i="1" s="1"/>
  <c r="F30" i="1"/>
  <c r="F73" i="1" s="1"/>
  <c r="E30" i="1"/>
  <c r="F29" i="1"/>
  <c r="F72" i="1" s="1"/>
  <c r="E29" i="1"/>
  <c r="F28" i="1"/>
  <c r="E28" i="1"/>
  <c r="J27" i="1"/>
  <c r="F27" i="1"/>
  <c r="E27" i="1"/>
  <c r="F26" i="1"/>
  <c r="F69" i="1" s="1"/>
  <c r="F112" i="1" s="1"/>
  <c r="E26" i="1"/>
  <c r="F25" i="1"/>
  <c r="F68" i="1" s="1"/>
  <c r="E25" i="1"/>
  <c r="J24" i="1"/>
  <c r="F24" i="1"/>
  <c r="E24" i="1"/>
  <c r="E67" i="1" s="1"/>
  <c r="F21" i="1"/>
  <c r="E21" i="1"/>
  <c r="G21" i="1" s="1"/>
  <c r="I20" i="1"/>
  <c r="H20" i="1"/>
  <c r="G20" i="1"/>
  <c r="J19" i="1"/>
  <c r="H19" i="1"/>
  <c r="G19" i="1"/>
  <c r="H18" i="1"/>
  <c r="G18" i="1"/>
  <c r="H17" i="1"/>
  <c r="G17" i="1"/>
  <c r="H16" i="1"/>
  <c r="G16" i="1"/>
  <c r="H15" i="1"/>
  <c r="G15" i="1"/>
  <c r="H14" i="1"/>
  <c r="G14" i="1"/>
  <c r="H13" i="1"/>
  <c r="G13" i="1"/>
  <c r="J12" i="1"/>
  <c r="H12" i="1"/>
  <c r="G12" i="1"/>
  <c r="H11" i="1"/>
  <c r="G11" i="1"/>
  <c r="H10" i="1"/>
  <c r="G10" i="1"/>
  <c r="J9" i="1"/>
  <c r="I9" i="1"/>
  <c r="I11" i="1" s="1"/>
  <c r="I12" i="1" s="1"/>
  <c r="H9" i="1"/>
  <c r="G9" i="1"/>
  <c r="B551" i="1" l="1"/>
  <c r="B525" i="1"/>
  <c r="B540" i="1"/>
  <c r="B550" i="1"/>
  <c r="B547" i="1"/>
  <c r="C540" i="1"/>
  <c r="C550" i="1"/>
  <c r="C525" i="1"/>
  <c r="B536" i="1"/>
  <c r="B535" i="1"/>
  <c r="C535" i="1"/>
  <c r="B534" i="1"/>
  <c r="B549" i="1"/>
  <c r="C534" i="1"/>
  <c r="C549" i="1"/>
  <c r="B533" i="1"/>
  <c r="B548" i="1"/>
  <c r="C533" i="1"/>
  <c r="C548" i="1"/>
  <c r="B532" i="1"/>
  <c r="C532" i="1"/>
  <c r="C547" i="1"/>
  <c r="B531" i="1"/>
  <c r="B546" i="1"/>
  <c r="C531" i="1"/>
  <c r="C546" i="1"/>
  <c r="D529" i="1"/>
  <c r="B530" i="1"/>
  <c r="B545" i="1"/>
  <c r="C530" i="1"/>
  <c r="C545" i="1"/>
  <c r="D531" i="1"/>
  <c r="E520" i="1"/>
  <c r="B529" i="1"/>
  <c r="B544" i="1"/>
  <c r="C529" i="1"/>
  <c r="C544" i="1"/>
  <c r="F520" i="1"/>
  <c r="B528" i="1"/>
  <c r="B543" i="1"/>
  <c r="C528" i="1"/>
  <c r="C543" i="1"/>
  <c r="G520" i="1"/>
  <c r="B527" i="1"/>
  <c r="B542" i="1"/>
  <c r="C527" i="1"/>
  <c r="C542" i="1"/>
  <c r="H520" i="1"/>
  <c r="B526" i="1"/>
  <c r="B541" i="1"/>
  <c r="C526" i="1"/>
  <c r="C541" i="1"/>
  <c r="D524" i="1"/>
  <c r="D547" i="1"/>
  <c r="D527" i="1"/>
  <c r="D545" i="1"/>
  <c r="D536" i="1"/>
  <c r="D525" i="1"/>
  <c r="D534" i="1"/>
  <c r="D543" i="1"/>
  <c r="D530" i="1"/>
  <c r="D532" i="1"/>
  <c r="D541" i="1"/>
  <c r="D548" i="1"/>
  <c r="D550" i="1"/>
  <c r="D528" i="1"/>
  <c r="D539" i="1"/>
  <c r="D546" i="1"/>
  <c r="D526" i="1"/>
  <c r="D535" i="1"/>
  <c r="D544" i="1"/>
  <c r="D533" i="1"/>
  <c r="D542" i="1"/>
  <c r="D540" i="1"/>
  <c r="D549" i="1"/>
  <c r="D551" i="1"/>
  <c r="G55" i="1"/>
  <c r="G52" i="1"/>
  <c r="G57" i="1"/>
  <c r="G53" i="1"/>
  <c r="H58" i="1"/>
  <c r="G24" i="1"/>
  <c r="H24" i="1"/>
  <c r="I24" i="1"/>
  <c r="I26" i="1" s="1"/>
  <c r="I27" i="1" s="1"/>
  <c r="F67" i="1"/>
  <c r="F110" i="1" s="1"/>
  <c r="F153" i="1" s="1"/>
  <c r="I153" i="1" s="1"/>
  <c r="I155" i="1" s="1"/>
  <c r="I156" i="1" s="1"/>
  <c r="F64" i="1"/>
  <c r="E64" i="1"/>
  <c r="H119" i="1"/>
  <c r="F162" i="1"/>
  <c r="F205" i="1" s="1"/>
  <c r="F248" i="1" s="1"/>
  <c r="E110" i="1"/>
  <c r="H30" i="1"/>
  <c r="E101" i="1"/>
  <c r="E144" i="1" s="1"/>
  <c r="E187" i="1" s="1"/>
  <c r="H35" i="1"/>
  <c r="F101" i="1"/>
  <c r="F144" i="1" s="1"/>
  <c r="G75" i="1"/>
  <c r="L41" i="1"/>
  <c r="H21" i="1"/>
  <c r="C149" i="1"/>
  <c r="F111" i="1"/>
  <c r="E117" i="1"/>
  <c r="F115" i="1"/>
  <c r="E148" i="1"/>
  <c r="F155" i="1"/>
  <c r="E77" i="1"/>
  <c r="G34" i="1"/>
  <c r="H31" i="1"/>
  <c r="G60" i="1"/>
  <c r="C121" i="1"/>
  <c r="E98" i="1"/>
  <c r="F116" i="1"/>
  <c r="E41" i="1"/>
  <c r="F41" i="1"/>
  <c r="E68" i="1"/>
  <c r="H68" i="1" s="1"/>
  <c r="G119" i="1"/>
  <c r="F78" i="1"/>
  <c r="G78" i="1" s="1"/>
  <c r="E225" i="1"/>
  <c r="F185" i="1"/>
  <c r="F96" i="1"/>
  <c r="F141" i="1"/>
  <c r="E147" i="1"/>
  <c r="G62" i="1"/>
  <c r="H62" i="1"/>
  <c r="H26" i="1"/>
  <c r="G76" i="1"/>
  <c r="E102" i="1"/>
  <c r="I18" i="1"/>
  <c r="I19" i="1" s="1"/>
  <c r="G59" i="1"/>
  <c r="F77" i="1"/>
  <c r="H34" i="1"/>
  <c r="H28" i="1"/>
  <c r="H25" i="1"/>
  <c r="H53" i="1"/>
  <c r="G35" i="1"/>
  <c r="F105" i="1"/>
  <c r="F70" i="1"/>
  <c r="E164" i="1"/>
  <c r="G31" i="1"/>
  <c r="H60" i="1"/>
  <c r="F100" i="1"/>
  <c r="G26" i="1"/>
  <c r="E95" i="1"/>
  <c r="H57" i="1"/>
  <c r="H29" i="1"/>
  <c r="E97" i="1"/>
  <c r="E36" i="1"/>
  <c r="H75" i="1"/>
  <c r="G25" i="1"/>
  <c r="G28" i="1"/>
  <c r="G32" i="1"/>
  <c r="H55" i="1"/>
  <c r="F74" i="1"/>
  <c r="G74" i="1" s="1"/>
  <c r="G29" i="1"/>
  <c r="H32" i="1"/>
  <c r="F95" i="1"/>
  <c r="E70" i="1"/>
  <c r="H59" i="1"/>
  <c r="H61" i="1"/>
  <c r="F104" i="1"/>
  <c r="G104" i="1" s="1"/>
  <c r="G63" i="1"/>
  <c r="E106" i="1"/>
  <c r="H106" i="1" s="1"/>
  <c r="H76" i="1"/>
  <c r="F102" i="1"/>
  <c r="I35" i="1"/>
  <c r="H52" i="1"/>
  <c r="F97" i="1"/>
  <c r="G61" i="1"/>
  <c r="G27" i="1"/>
  <c r="G33" i="1"/>
  <c r="G54" i="1"/>
  <c r="E99" i="1"/>
  <c r="H99" i="1" s="1"/>
  <c r="G56" i="1"/>
  <c r="H63" i="1"/>
  <c r="E71" i="1"/>
  <c r="E103" i="1"/>
  <c r="E118" i="1"/>
  <c r="H27" i="1"/>
  <c r="G30" i="1"/>
  <c r="H33" i="1"/>
  <c r="F36" i="1"/>
  <c r="H54" i="1"/>
  <c r="H56" i="1"/>
  <c r="E69" i="1"/>
  <c r="H69" i="1" s="1"/>
  <c r="F71" i="1"/>
  <c r="E73" i="1"/>
  <c r="H73" i="1" s="1"/>
  <c r="E100" i="1"/>
  <c r="F103" i="1"/>
  <c r="F118" i="1"/>
  <c r="E162" i="1"/>
  <c r="F310" i="1"/>
  <c r="I267" i="1"/>
  <c r="I269" i="1" s="1"/>
  <c r="I147" i="1"/>
  <c r="I148" i="1" s="1"/>
  <c r="F149" i="1"/>
  <c r="E72" i="1"/>
  <c r="L84" i="1" l="1"/>
  <c r="L127" i="1" s="1"/>
  <c r="L170" i="1" s="1"/>
  <c r="L213" i="1" s="1"/>
  <c r="L256" i="1" s="1"/>
  <c r="L299" i="1" s="1"/>
  <c r="L342" i="1" s="1"/>
  <c r="L385" i="1" s="1"/>
  <c r="L428" i="1" s="1"/>
  <c r="L471" i="1" s="1"/>
  <c r="L514" i="1" s="1"/>
  <c r="L557" i="1"/>
  <c r="G64" i="1"/>
  <c r="H64" i="1"/>
  <c r="H67" i="1"/>
  <c r="I162" i="1"/>
  <c r="I163" i="1" s="1"/>
  <c r="G67" i="1"/>
  <c r="G101" i="1"/>
  <c r="F613" i="1"/>
  <c r="H101" i="1"/>
  <c r="H36" i="1"/>
  <c r="I33" i="1"/>
  <c r="I34" i="1" s="1"/>
  <c r="F196" i="1"/>
  <c r="F239" i="1" s="1"/>
  <c r="F282" i="1" s="1"/>
  <c r="F325" i="1" s="1"/>
  <c r="H110" i="1"/>
  <c r="G41" i="1"/>
  <c r="E153" i="1"/>
  <c r="G110" i="1"/>
  <c r="F79" i="1"/>
  <c r="F139" i="1"/>
  <c r="H96" i="1"/>
  <c r="E205" i="1"/>
  <c r="G162" i="1"/>
  <c r="G36" i="1"/>
  <c r="F154" i="1"/>
  <c r="G98" i="1"/>
  <c r="E141" i="1"/>
  <c r="H141" i="1" s="1"/>
  <c r="E79" i="1"/>
  <c r="G106" i="1"/>
  <c r="E149" i="1"/>
  <c r="H100" i="1"/>
  <c r="F143" i="1"/>
  <c r="F161" i="1"/>
  <c r="H118" i="1"/>
  <c r="E140" i="1"/>
  <c r="G97" i="1"/>
  <c r="F228" i="1"/>
  <c r="G68" i="1"/>
  <c r="E111" i="1"/>
  <c r="G96" i="1"/>
  <c r="H95" i="1"/>
  <c r="E120" i="1"/>
  <c r="G77" i="1"/>
  <c r="F84" i="1"/>
  <c r="F146" i="1"/>
  <c r="H103" i="1"/>
  <c r="E230" i="1"/>
  <c r="H104" i="1"/>
  <c r="F147" i="1"/>
  <c r="G147" i="1" s="1"/>
  <c r="F117" i="1"/>
  <c r="G117" i="1" s="1"/>
  <c r="H74" i="1"/>
  <c r="H41" i="1"/>
  <c r="F198" i="1"/>
  <c r="E191" i="1"/>
  <c r="C164" i="1"/>
  <c r="I270" i="1"/>
  <c r="I276" i="1"/>
  <c r="I277" i="1" s="1"/>
  <c r="F353" i="1"/>
  <c r="H98" i="1"/>
  <c r="E143" i="1"/>
  <c r="G100" i="1"/>
  <c r="E161" i="1"/>
  <c r="G118" i="1"/>
  <c r="H97" i="1"/>
  <c r="F140" i="1"/>
  <c r="H77" i="1"/>
  <c r="F120" i="1"/>
  <c r="E160" i="1"/>
  <c r="E116" i="1"/>
  <c r="G73" i="1"/>
  <c r="E146" i="1"/>
  <c r="G103" i="1"/>
  <c r="H162" i="1"/>
  <c r="E268" i="1"/>
  <c r="C192" i="1"/>
  <c r="I149" i="1"/>
  <c r="F192" i="1"/>
  <c r="H71" i="1"/>
  <c r="F114" i="1"/>
  <c r="E114" i="1"/>
  <c r="G71" i="1"/>
  <c r="E84" i="1"/>
  <c r="E207" i="1"/>
  <c r="E190" i="1"/>
  <c r="F121" i="1"/>
  <c r="H78" i="1"/>
  <c r="F159" i="1"/>
  <c r="F291" i="1"/>
  <c r="F107" i="1"/>
  <c r="G70" i="1"/>
  <c r="E113" i="1"/>
  <c r="G95" i="1"/>
  <c r="E138" i="1"/>
  <c r="H70" i="1"/>
  <c r="F113" i="1"/>
  <c r="F187" i="1"/>
  <c r="G187" i="1" s="1"/>
  <c r="H144" i="1"/>
  <c r="E142" i="1"/>
  <c r="G99" i="1"/>
  <c r="G144" i="1"/>
  <c r="F158" i="1"/>
  <c r="E115" i="1"/>
  <c r="H115" i="1" s="1"/>
  <c r="G72" i="1"/>
  <c r="H102" i="1"/>
  <c r="F145" i="1"/>
  <c r="F148" i="1"/>
  <c r="G148" i="1" s="1"/>
  <c r="H105" i="1"/>
  <c r="H72" i="1"/>
  <c r="E112" i="1"/>
  <c r="G69" i="1"/>
  <c r="E608" i="1"/>
  <c r="E618" i="1"/>
  <c r="E613" i="1"/>
  <c r="G102" i="1"/>
  <c r="E145" i="1"/>
  <c r="F184" i="1"/>
  <c r="G105" i="1"/>
  <c r="E107" i="1"/>
  <c r="F608" i="1" l="1"/>
  <c r="I282" i="1"/>
  <c r="I284" i="1" s="1"/>
  <c r="F150" i="1"/>
  <c r="E150" i="1"/>
  <c r="F122" i="1"/>
  <c r="G150" i="1"/>
  <c r="G84" i="1"/>
  <c r="G79" i="1"/>
  <c r="G153" i="1"/>
  <c r="E196" i="1"/>
  <c r="H153" i="1"/>
  <c r="G107" i="1"/>
  <c r="G142" i="1"/>
  <c r="E185" i="1"/>
  <c r="H142" i="1"/>
  <c r="E159" i="1"/>
  <c r="G116" i="1"/>
  <c r="E186" i="1"/>
  <c r="G143" i="1"/>
  <c r="E234" i="1"/>
  <c r="H146" i="1"/>
  <c r="F189" i="1"/>
  <c r="E154" i="1"/>
  <c r="G111" i="1"/>
  <c r="F191" i="1"/>
  <c r="G191" i="1" s="1"/>
  <c r="H148" i="1"/>
  <c r="E203" i="1"/>
  <c r="F241" i="1"/>
  <c r="E122" i="1"/>
  <c r="G122" i="1" s="1"/>
  <c r="E273" i="1"/>
  <c r="H107" i="1"/>
  <c r="E189" i="1"/>
  <c r="G146" i="1"/>
  <c r="F202" i="1"/>
  <c r="E184" i="1"/>
  <c r="H184" i="1" s="1"/>
  <c r="G141" i="1"/>
  <c r="C207" i="1"/>
  <c r="G205" i="1"/>
  <c r="E248" i="1"/>
  <c r="H205" i="1"/>
  <c r="C235" i="1"/>
  <c r="F182" i="1"/>
  <c r="H139" i="1"/>
  <c r="G139" i="1"/>
  <c r="E156" i="1"/>
  <c r="G113" i="1"/>
  <c r="E192" i="1"/>
  <c r="G149" i="1"/>
  <c r="E250" i="1"/>
  <c r="F334" i="1"/>
  <c r="F271" i="1"/>
  <c r="F227" i="1"/>
  <c r="E311" i="1"/>
  <c r="E183" i="1"/>
  <c r="G140" i="1"/>
  <c r="E188" i="1"/>
  <c r="G145" i="1"/>
  <c r="H187" i="1"/>
  <c r="F230" i="1"/>
  <c r="H116" i="1"/>
  <c r="F163" i="1"/>
  <c r="H120" i="1"/>
  <c r="I291" i="1"/>
  <c r="I292" i="1" s="1"/>
  <c r="I285" i="1"/>
  <c r="E163" i="1"/>
  <c r="G120" i="1"/>
  <c r="H161" i="1"/>
  <c r="F204" i="1"/>
  <c r="H138" i="1"/>
  <c r="G138" i="1"/>
  <c r="E181" i="1"/>
  <c r="H121" i="1"/>
  <c r="F164" i="1"/>
  <c r="G121" i="1"/>
  <c r="F368" i="1"/>
  <c r="F197" i="1"/>
  <c r="H150" i="1"/>
  <c r="G112" i="1"/>
  <c r="E155" i="1"/>
  <c r="H112" i="1"/>
  <c r="E157" i="1"/>
  <c r="G114" i="1"/>
  <c r="H84" i="1"/>
  <c r="F156" i="1"/>
  <c r="H113" i="1"/>
  <c r="H111" i="1"/>
  <c r="E158" i="1"/>
  <c r="G115" i="1"/>
  <c r="E127" i="1"/>
  <c r="H149" i="1"/>
  <c r="H117" i="1"/>
  <c r="F160" i="1"/>
  <c r="F127" i="1"/>
  <c r="G161" i="1"/>
  <c r="E204" i="1"/>
  <c r="F188" i="1"/>
  <c r="H145" i="1"/>
  <c r="H114" i="1"/>
  <c r="F157" i="1"/>
  <c r="F235" i="1"/>
  <c r="F396" i="1"/>
  <c r="H79" i="1"/>
  <c r="F201" i="1"/>
  <c r="H158" i="1"/>
  <c r="E233" i="1"/>
  <c r="H140" i="1"/>
  <c r="F183" i="1"/>
  <c r="F190" i="1"/>
  <c r="G190" i="1" s="1"/>
  <c r="H147" i="1"/>
  <c r="F186" i="1"/>
  <c r="H143" i="1"/>
  <c r="E170" i="1" l="1"/>
  <c r="E193" i="1"/>
  <c r="F165" i="1"/>
  <c r="G196" i="1"/>
  <c r="E239" i="1"/>
  <c r="H196" i="1"/>
  <c r="G127" i="1"/>
  <c r="F203" i="1"/>
  <c r="G203" i="1" s="1"/>
  <c r="H160" i="1"/>
  <c r="G160" i="1"/>
  <c r="E235" i="1"/>
  <c r="G192" i="1"/>
  <c r="E276" i="1"/>
  <c r="F411" i="1"/>
  <c r="G186" i="1"/>
  <c r="E229" i="1"/>
  <c r="E316" i="1"/>
  <c r="G248" i="1"/>
  <c r="E291" i="1"/>
  <c r="H248" i="1"/>
  <c r="G159" i="1"/>
  <c r="E202" i="1"/>
  <c r="H191" i="1"/>
  <c r="F234" i="1"/>
  <c r="G234" i="1" s="1"/>
  <c r="I164" i="1"/>
  <c r="H164" i="1"/>
  <c r="F207" i="1"/>
  <c r="G164" i="1"/>
  <c r="F278" i="1"/>
  <c r="F270" i="1"/>
  <c r="H227" i="1"/>
  <c r="F200" i="1"/>
  <c r="H157" i="1"/>
  <c r="G156" i="1"/>
  <c r="E199" i="1"/>
  <c r="F314" i="1"/>
  <c r="F244" i="1"/>
  <c r="E231" i="1"/>
  <c r="G188" i="1"/>
  <c r="F439" i="1"/>
  <c r="I396" i="1"/>
  <c r="I398" i="1" s="1"/>
  <c r="F170" i="1"/>
  <c r="H170" i="1" s="1"/>
  <c r="F233" i="1"/>
  <c r="G233" i="1" s="1"/>
  <c r="H190" i="1"/>
  <c r="E226" i="1"/>
  <c r="G183" i="1"/>
  <c r="E228" i="1"/>
  <c r="G185" i="1"/>
  <c r="H185" i="1"/>
  <c r="F273" i="1"/>
  <c r="H230" i="1"/>
  <c r="F231" i="1"/>
  <c r="H188" i="1"/>
  <c r="G163" i="1"/>
  <c r="E206" i="1"/>
  <c r="E201" i="1"/>
  <c r="G158" i="1"/>
  <c r="H182" i="1"/>
  <c r="F225" i="1"/>
  <c r="G182" i="1"/>
  <c r="G184" i="1"/>
  <c r="E227" i="1"/>
  <c r="F226" i="1"/>
  <c r="H183" i="1"/>
  <c r="F240" i="1"/>
  <c r="E224" i="1"/>
  <c r="H181" i="1"/>
  <c r="G181" i="1"/>
  <c r="F193" i="1"/>
  <c r="H193" i="1" s="1"/>
  <c r="F245" i="1"/>
  <c r="G157" i="1"/>
  <c r="E200" i="1"/>
  <c r="C250" i="1"/>
  <c r="E198" i="1"/>
  <c r="G155" i="1"/>
  <c r="H155" i="1"/>
  <c r="H186" i="1"/>
  <c r="F229" i="1"/>
  <c r="H156" i="1"/>
  <c r="F199" i="1"/>
  <c r="H163" i="1"/>
  <c r="F206" i="1"/>
  <c r="E354" i="1"/>
  <c r="C278" i="1"/>
  <c r="H159" i="1"/>
  <c r="H189" i="1"/>
  <c r="F232" i="1"/>
  <c r="E277" i="1"/>
  <c r="G189" i="1"/>
  <c r="E232" i="1"/>
  <c r="F247" i="1"/>
  <c r="H204" i="1"/>
  <c r="E246" i="1"/>
  <c r="E165" i="1"/>
  <c r="G165" i="1" s="1"/>
  <c r="G230" i="1"/>
  <c r="G154" i="1"/>
  <c r="E197" i="1"/>
  <c r="E247" i="1"/>
  <c r="G204" i="1"/>
  <c r="F377" i="1"/>
  <c r="H122" i="1"/>
  <c r="H154" i="1"/>
  <c r="H192" i="1"/>
  <c r="H127" i="1"/>
  <c r="E293" i="1"/>
  <c r="F284" i="1"/>
  <c r="F236" i="1" l="1"/>
  <c r="G193" i="1"/>
  <c r="G239" i="1"/>
  <c r="E282" i="1"/>
  <c r="H239" i="1"/>
  <c r="F213" i="1"/>
  <c r="G170" i="1"/>
  <c r="E208" i="1"/>
  <c r="E245" i="1"/>
  <c r="H245" i="1" s="1"/>
  <c r="G202" i="1"/>
  <c r="I399" i="1"/>
  <c r="I405" i="1"/>
  <c r="I406" i="1" s="1"/>
  <c r="E320" i="1"/>
  <c r="F208" i="1"/>
  <c r="F420" i="1"/>
  <c r="F313" i="1"/>
  <c r="H273" i="1"/>
  <c r="F316" i="1"/>
  <c r="G316" i="1" s="1"/>
  <c r="G291" i="1"/>
  <c r="E334" i="1"/>
  <c r="H291" i="1"/>
  <c r="E278" i="1"/>
  <c r="H278" i="1" s="1"/>
  <c r="G235" i="1"/>
  <c r="F454" i="1"/>
  <c r="I411" i="1"/>
  <c r="I413" i="1" s="1"/>
  <c r="H225" i="1"/>
  <c r="F268" i="1"/>
  <c r="G225" i="1"/>
  <c r="E397" i="1"/>
  <c r="H206" i="1"/>
  <c r="F249" i="1"/>
  <c r="E271" i="1"/>
  <c r="G228" i="1"/>
  <c r="H228" i="1"/>
  <c r="E240" i="1"/>
  <c r="G197" i="1"/>
  <c r="H197" i="1"/>
  <c r="F283" i="1"/>
  <c r="H202" i="1"/>
  <c r="E272" i="1"/>
  <c r="G229" i="1"/>
  <c r="E319" i="1"/>
  <c r="E275" i="1"/>
  <c r="G232" i="1"/>
  <c r="F243" i="1"/>
  <c r="H200" i="1"/>
  <c r="E213" i="1"/>
  <c r="F482" i="1"/>
  <c r="E290" i="1"/>
  <c r="G247" i="1"/>
  <c r="C293" i="1"/>
  <c r="I278" i="1"/>
  <c r="F321" i="1"/>
  <c r="E243" i="1"/>
  <c r="G200" i="1"/>
  <c r="E244" i="1"/>
  <c r="H244" i="1" s="1"/>
  <c r="G201" i="1"/>
  <c r="H201" i="1"/>
  <c r="G273" i="1"/>
  <c r="F275" i="1"/>
  <c r="H232" i="1"/>
  <c r="G206" i="1"/>
  <c r="E249" i="1"/>
  <c r="F287" i="1"/>
  <c r="F288" i="1"/>
  <c r="F269" i="1"/>
  <c r="H226" i="1"/>
  <c r="H233" i="1"/>
  <c r="F276" i="1"/>
  <c r="G276" i="1" s="1"/>
  <c r="F357" i="1"/>
  <c r="C321" i="1"/>
  <c r="F290" i="1"/>
  <c r="H247" i="1"/>
  <c r="E336" i="1"/>
  <c r="E241" i="1"/>
  <c r="G198" i="1"/>
  <c r="H198" i="1"/>
  <c r="E267" i="1"/>
  <c r="G224" i="1"/>
  <c r="H224" i="1"/>
  <c r="H235" i="1"/>
  <c r="E274" i="1"/>
  <c r="G231" i="1"/>
  <c r="E359" i="1"/>
  <c r="H199" i="1"/>
  <c r="F242" i="1"/>
  <c r="G226" i="1"/>
  <c r="E269" i="1"/>
  <c r="F250" i="1"/>
  <c r="H207" i="1"/>
  <c r="G207" i="1"/>
  <c r="F246" i="1"/>
  <c r="H203" i="1"/>
  <c r="F327" i="1"/>
  <c r="E289" i="1"/>
  <c r="E236" i="1"/>
  <c r="G236" i="1" s="1"/>
  <c r="F272" i="1"/>
  <c r="H229" i="1"/>
  <c r="E270" i="1"/>
  <c r="G227" i="1"/>
  <c r="F274" i="1"/>
  <c r="H231" i="1"/>
  <c r="G199" i="1"/>
  <c r="E242" i="1"/>
  <c r="F277" i="1"/>
  <c r="G277" i="1" s="1"/>
  <c r="H234" i="1"/>
  <c r="H165" i="1"/>
  <c r="F256" i="1" l="1"/>
  <c r="F251" i="1"/>
  <c r="G246" i="1"/>
  <c r="E256" i="1"/>
  <c r="H256" i="1" s="1"/>
  <c r="E325" i="1"/>
  <c r="G282" i="1"/>
  <c r="H282" i="1"/>
  <c r="H236" i="1"/>
  <c r="H208" i="1"/>
  <c r="G213" i="1"/>
  <c r="C336" i="1"/>
  <c r="G275" i="1"/>
  <c r="E318" i="1"/>
  <c r="E283" i="1"/>
  <c r="G240" i="1"/>
  <c r="E363" i="1"/>
  <c r="F311" i="1"/>
  <c r="H268" i="1"/>
  <c r="G268" i="1"/>
  <c r="E377" i="1"/>
  <c r="G334" i="1"/>
  <c r="H334" i="1"/>
  <c r="H269" i="1"/>
  <c r="F312" i="1"/>
  <c r="F285" i="1"/>
  <c r="H242" i="1"/>
  <c r="F331" i="1"/>
  <c r="F359" i="1"/>
  <c r="G359" i="1" s="1"/>
  <c r="H316" i="1"/>
  <c r="E310" i="1"/>
  <c r="G267" i="1"/>
  <c r="H267" i="1"/>
  <c r="E314" i="1"/>
  <c r="G271" i="1"/>
  <c r="H271" i="1"/>
  <c r="F370" i="1"/>
  <c r="E279" i="1"/>
  <c r="F330" i="1"/>
  <c r="F568" i="1"/>
  <c r="C364" i="1"/>
  <c r="F317" i="1"/>
  <c r="H274" i="1"/>
  <c r="G270" i="1"/>
  <c r="E313" i="1"/>
  <c r="H313" i="1" s="1"/>
  <c r="G241" i="1"/>
  <c r="E284" i="1"/>
  <c r="H241" i="1"/>
  <c r="G243" i="1"/>
  <c r="E286" i="1"/>
  <c r="G272" i="1"/>
  <c r="E315" i="1"/>
  <c r="F292" i="1"/>
  <c r="H249" i="1"/>
  <c r="I420" i="1"/>
  <c r="I421" i="1" s="1"/>
  <c r="I414" i="1"/>
  <c r="F356" i="1"/>
  <c r="G245" i="1"/>
  <c r="E288" i="1"/>
  <c r="H288" i="1" s="1"/>
  <c r="F333" i="1"/>
  <c r="H290" i="1"/>
  <c r="E287" i="1"/>
  <c r="H287" i="1" s="1"/>
  <c r="G244" i="1"/>
  <c r="F400" i="1"/>
  <c r="E292" i="1"/>
  <c r="G249" i="1"/>
  <c r="F364" i="1"/>
  <c r="F497" i="1"/>
  <c r="H270" i="1"/>
  <c r="H275" i="1"/>
  <c r="F318" i="1"/>
  <c r="E285" i="1"/>
  <c r="G242" i="1"/>
  <c r="H246" i="1"/>
  <c r="F289" i="1"/>
  <c r="G289" i="1" s="1"/>
  <c r="F293" i="1"/>
  <c r="H250" i="1"/>
  <c r="G250" i="1"/>
  <c r="F319" i="1"/>
  <c r="G319" i="1" s="1"/>
  <c r="H276" i="1"/>
  <c r="H240" i="1"/>
  <c r="F279" i="1"/>
  <c r="E333" i="1"/>
  <c r="G290" i="1"/>
  <c r="E402" i="1"/>
  <c r="E317" i="1"/>
  <c r="G274" i="1"/>
  <c r="E379" i="1"/>
  <c r="F326" i="1"/>
  <c r="H283" i="1"/>
  <c r="F463" i="1"/>
  <c r="H213" i="1"/>
  <c r="E362" i="1"/>
  <c r="H272" i="1"/>
  <c r="F315" i="1"/>
  <c r="H277" i="1"/>
  <c r="F320" i="1"/>
  <c r="G320" i="1" s="1"/>
  <c r="E332" i="1"/>
  <c r="G269" i="1"/>
  <c r="E312" i="1"/>
  <c r="E251" i="1"/>
  <c r="G251" i="1" s="1"/>
  <c r="H243" i="1"/>
  <c r="F286" i="1"/>
  <c r="E440" i="1"/>
  <c r="G278" i="1"/>
  <c r="E321" i="1"/>
  <c r="H321" i="1" s="1"/>
  <c r="G208" i="1"/>
  <c r="G256" i="1" l="1"/>
  <c r="H279" i="1"/>
  <c r="G325" i="1"/>
  <c r="E368" i="1"/>
  <c r="H325" i="1"/>
  <c r="E360" i="1"/>
  <c r="G317" i="1"/>
  <c r="C407" i="1"/>
  <c r="E364" i="1"/>
  <c r="G321" i="1"/>
  <c r="E445" i="1"/>
  <c r="F407" i="1"/>
  <c r="F399" i="1"/>
  <c r="E327" i="1"/>
  <c r="G284" i="1"/>
  <c r="H284" i="1"/>
  <c r="I568" i="1"/>
  <c r="I570" i="1" s="1"/>
  <c r="F506" i="1"/>
  <c r="F592" i="1"/>
  <c r="H289" i="1"/>
  <c r="F332" i="1"/>
  <c r="G332" i="1" s="1"/>
  <c r="F328" i="1"/>
  <c r="H285" i="1"/>
  <c r="E406" i="1"/>
  <c r="G288" i="1"/>
  <c r="E331" i="1"/>
  <c r="E483" i="1"/>
  <c r="E569" i="1"/>
  <c r="H320" i="1"/>
  <c r="F363" i="1"/>
  <c r="G363" i="1" s="1"/>
  <c r="F369" i="1"/>
  <c r="G333" i="1"/>
  <c r="E376" i="1"/>
  <c r="G292" i="1"/>
  <c r="E335" i="1"/>
  <c r="G313" i="1"/>
  <c r="E356" i="1"/>
  <c r="H356" i="1" s="1"/>
  <c r="F373" i="1"/>
  <c r="E299" i="1"/>
  <c r="F355" i="1"/>
  <c r="H312" i="1"/>
  <c r="E326" i="1"/>
  <c r="G283" i="1"/>
  <c r="H286" i="1"/>
  <c r="F329" i="1"/>
  <c r="G285" i="1"/>
  <c r="E328" i="1"/>
  <c r="F443" i="1"/>
  <c r="E357" i="1"/>
  <c r="G314" i="1"/>
  <c r="H314" i="1"/>
  <c r="F358" i="1"/>
  <c r="H315" i="1"/>
  <c r="E422" i="1"/>
  <c r="H318" i="1"/>
  <c r="F361" i="1"/>
  <c r="H292" i="1"/>
  <c r="F335" i="1"/>
  <c r="G279" i="1"/>
  <c r="G310" i="1"/>
  <c r="E353" i="1"/>
  <c r="H310" i="1"/>
  <c r="G318" i="1"/>
  <c r="E361" i="1"/>
  <c r="E375" i="1"/>
  <c r="F336" i="1"/>
  <c r="I293" i="1"/>
  <c r="H293" i="1"/>
  <c r="G293" i="1"/>
  <c r="F413" i="1"/>
  <c r="H311" i="1"/>
  <c r="F354" i="1"/>
  <c r="G311" i="1"/>
  <c r="G287" i="1"/>
  <c r="E330" i="1"/>
  <c r="H330" i="1" s="1"/>
  <c r="G315" i="1"/>
  <c r="E358" i="1"/>
  <c r="F360" i="1"/>
  <c r="H317" i="1"/>
  <c r="G377" i="1"/>
  <c r="E420" i="1"/>
  <c r="H377" i="1"/>
  <c r="E294" i="1"/>
  <c r="G312" i="1"/>
  <c r="E355" i="1"/>
  <c r="E405" i="1"/>
  <c r="F362" i="1"/>
  <c r="H319" i="1"/>
  <c r="E322" i="1"/>
  <c r="H251" i="1"/>
  <c r="F402" i="1"/>
  <c r="G402" i="1" s="1"/>
  <c r="H359" i="1"/>
  <c r="F294" i="1"/>
  <c r="F583" i="1"/>
  <c r="F376" i="1"/>
  <c r="H333" i="1"/>
  <c r="G286" i="1"/>
  <c r="E329" i="1"/>
  <c r="F322" i="1"/>
  <c r="F374" i="1"/>
  <c r="H331" i="1"/>
  <c r="F299" i="1"/>
  <c r="H299" i="1" s="1"/>
  <c r="C379" i="1"/>
  <c r="H294" i="1" l="1"/>
  <c r="H322" i="1"/>
  <c r="E411" i="1"/>
  <c r="G368" i="1"/>
  <c r="H368" i="1"/>
  <c r="G294" i="1"/>
  <c r="H335" i="1"/>
  <c r="F378" i="1"/>
  <c r="E400" i="1"/>
  <c r="G357" i="1"/>
  <c r="H357" i="1"/>
  <c r="E374" i="1"/>
  <c r="H374" i="1" s="1"/>
  <c r="G331" i="1"/>
  <c r="E488" i="1"/>
  <c r="F379" i="1"/>
  <c r="H336" i="1"/>
  <c r="G336" i="1"/>
  <c r="E369" i="1"/>
  <c r="H369" i="1" s="1"/>
  <c r="G326" i="1"/>
  <c r="I571" i="1"/>
  <c r="I577" i="1"/>
  <c r="I578" i="1" s="1"/>
  <c r="F417" i="1"/>
  <c r="F342" i="1"/>
  <c r="F404" i="1"/>
  <c r="H361" i="1"/>
  <c r="E419" i="1"/>
  <c r="G376" i="1"/>
  <c r="G322" i="1"/>
  <c r="G420" i="1"/>
  <c r="E463" i="1"/>
  <c r="H420" i="1"/>
  <c r="F397" i="1"/>
  <c r="H354" i="1"/>
  <c r="G354" i="1"/>
  <c r="E418" i="1"/>
  <c r="F486" i="1"/>
  <c r="F398" i="1"/>
  <c r="H355" i="1"/>
  <c r="E449" i="1"/>
  <c r="E404" i="1"/>
  <c r="G361" i="1"/>
  <c r="G299" i="1"/>
  <c r="H326" i="1"/>
  <c r="E407" i="1"/>
  <c r="H407" i="1" s="1"/>
  <c r="G364" i="1"/>
  <c r="E372" i="1"/>
  <c r="G329" i="1"/>
  <c r="H362" i="1"/>
  <c r="F405" i="1"/>
  <c r="F412" i="1"/>
  <c r="F371" i="1"/>
  <c r="H328" i="1"/>
  <c r="G327" i="1"/>
  <c r="E370" i="1"/>
  <c r="H327" i="1"/>
  <c r="E365" i="1"/>
  <c r="H360" i="1"/>
  <c r="F403" i="1"/>
  <c r="F456" i="1"/>
  <c r="E465" i="1"/>
  <c r="E371" i="1"/>
  <c r="G328" i="1"/>
  <c r="F416" i="1"/>
  <c r="F406" i="1"/>
  <c r="G406" i="1" s="1"/>
  <c r="H363" i="1"/>
  <c r="H332" i="1"/>
  <c r="F375" i="1"/>
  <c r="F365" i="1"/>
  <c r="E448" i="1"/>
  <c r="E401" i="1"/>
  <c r="G358" i="1"/>
  <c r="E342" i="1"/>
  <c r="C450" i="1"/>
  <c r="E337" i="1"/>
  <c r="F419" i="1"/>
  <c r="H376" i="1"/>
  <c r="G362" i="1"/>
  <c r="E396" i="1"/>
  <c r="G353" i="1"/>
  <c r="H353" i="1"/>
  <c r="F401" i="1"/>
  <c r="H358" i="1"/>
  <c r="F442" i="1"/>
  <c r="F337" i="1"/>
  <c r="I583" i="1"/>
  <c r="I585" i="1" s="1"/>
  <c r="G330" i="1"/>
  <c r="E373" i="1"/>
  <c r="E399" i="1"/>
  <c r="H399" i="1" s="1"/>
  <c r="G356" i="1"/>
  <c r="H364" i="1"/>
  <c r="G335" i="1"/>
  <c r="E378" i="1"/>
  <c r="H402" i="1"/>
  <c r="F445" i="1"/>
  <c r="G445" i="1" s="1"/>
  <c r="C422" i="1"/>
  <c r="E398" i="1"/>
  <c r="G355" i="1"/>
  <c r="F372" i="1"/>
  <c r="H329" i="1"/>
  <c r="I407" i="1"/>
  <c r="F450" i="1"/>
  <c r="E403" i="1"/>
  <c r="G360" i="1"/>
  <c r="E408" i="1" l="1"/>
  <c r="G337" i="1"/>
  <c r="F380" i="1"/>
  <c r="G365" i="1"/>
  <c r="H411" i="1"/>
  <c r="E454" i="1"/>
  <c r="G411" i="1"/>
  <c r="F408" i="1"/>
  <c r="H408" i="1" s="1"/>
  <c r="H342" i="1"/>
  <c r="H375" i="1"/>
  <c r="F418" i="1"/>
  <c r="G418" i="1" s="1"/>
  <c r="F499" i="1"/>
  <c r="H404" i="1"/>
  <c r="F447" i="1"/>
  <c r="F455" i="1"/>
  <c r="G404" i="1"/>
  <c r="E447" i="1"/>
  <c r="F385" i="1"/>
  <c r="E574" i="1"/>
  <c r="F446" i="1"/>
  <c r="H403" i="1"/>
  <c r="E492" i="1"/>
  <c r="E446" i="1"/>
  <c r="G403" i="1"/>
  <c r="H445" i="1"/>
  <c r="F488" i="1"/>
  <c r="H530" i="1" s="1"/>
  <c r="E416" i="1"/>
  <c r="H416" i="1" s="1"/>
  <c r="G373" i="1"/>
  <c r="C493" i="1"/>
  <c r="C536" i="1" s="1"/>
  <c r="F448" i="1"/>
  <c r="G448" i="1" s="1"/>
  <c r="H405" i="1"/>
  <c r="H397" i="1"/>
  <c r="F440" i="1"/>
  <c r="G397" i="1"/>
  <c r="F460" i="1"/>
  <c r="E417" i="1"/>
  <c r="G374" i="1"/>
  <c r="C465" i="1"/>
  <c r="G342" i="1"/>
  <c r="F449" i="1"/>
  <c r="H406" i="1"/>
  <c r="E421" i="1"/>
  <c r="G378" i="1"/>
  <c r="E385" i="1"/>
  <c r="H373" i="1"/>
  <c r="G463" i="1"/>
  <c r="E506" i="1"/>
  <c r="H463" i="1"/>
  <c r="I586" i="1"/>
  <c r="I592" i="1"/>
  <c r="I593" i="1" s="1"/>
  <c r="F459" i="1"/>
  <c r="G370" i="1"/>
  <c r="E413" i="1"/>
  <c r="H370" i="1"/>
  <c r="G372" i="1"/>
  <c r="E415" i="1"/>
  <c r="F441" i="1"/>
  <c r="H398" i="1"/>
  <c r="E443" i="1"/>
  <c r="G400" i="1"/>
  <c r="H400" i="1"/>
  <c r="F493" i="1"/>
  <c r="F579" i="1"/>
  <c r="H337" i="1"/>
  <c r="E439" i="1"/>
  <c r="G396" i="1"/>
  <c r="H396" i="1"/>
  <c r="G401" i="1"/>
  <c r="E444" i="1"/>
  <c r="F421" i="1"/>
  <c r="H378" i="1"/>
  <c r="H372" i="1"/>
  <c r="F415" i="1"/>
  <c r="F485" i="1"/>
  <c r="F571" i="1"/>
  <c r="G405" i="1"/>
  <c r="E414" i="1"/>
  <c r="G371" i="1"/>
  <c r="G407" i="1"/>
  <c r="E450" i="1"/>
  <c r="H450" i="1" s="1"/>
  <c r="E412" i="1"/>
  <c r="H412" i="1" s="1"/>
  <c r="G369" i="1"/>
  <c r="E491" i="1"/>
  <c r="E462" i="1"/>
  <c r="G419" i="1"/>
  <c r="G398" i="1"/>
  <c r="E441" i="1"/>
  <c r="H365" i="1"/>
  <c r="E508" i="1"/>
  <c r="E594" i="1"/>
  <c r="F414" i="1"/>
  <c r="H371" i="1"/>
  <c r="G375" i="1"/>
  <c r="F444" i="1"/>
  <c r="H401" i="1"/>
  <c r="E380" i="1"/>
  <c r="E442" i="1"/>
  <c r="H442" i="1" s="1"/>
  <c r="G399" i="1"/>
  <c r="H419" i="1"/>
  <c r="F462" i="1"/>
  <c r="E461" i="1"/>
  <c r="F422" i="1"/>
  <c r="H379" i="1"/>
  <c r="G379" i="1"/>
  <c r="F572" i="1"/>
  <c r="E577" i="1" l="1"/>
  <c r="E592" i="1"/>
  <c r="F585" i="1"/>
  <c r="G530" i="1"/>
  <c r="E578" i="1"/>
  <c r="G578" i="1" s="1"/>
  <c r="G380" i="1"/>
  <c r="G408" i="1"/>
  <c r="H385" i="1"/>
  <c r="G454" i="1"/>
  <c r="E497" i="1"/>
  <c r="H454" i="1"/>
  <c r="E583" i="1"/>
  <c r="G592" i="1"/>
  <c r="H592" i="1"/>
  <c r="E505" i="1"/>
  <c r="G462" i="1"/>
  <c r="G414" i="1"/>
  <c r="E457" i="1"/>
  <c r="H488" i="1"/>
  <c r="F574" i="1"/>
  <c r="H574" i="1" s="1"/>
  <c r="F484" i="1"/>
  <c r="H441" i="1"/>
  <c r="H449" i="1"/>
  <c r="F492" i="1"/>
  <c r="F578" i="1"/>
  <c r="G447" i="1"/>
  <c r="E490" i="1"/>
  <c r="F505" i="1"/>
  <c r="H462" i="1"/>
  <c r="H414" i="1"/>
  <c r="F457" i="1"/>
  <c r="F428" i="1"/>
  <c r="E428" i="1"/>
  <c r="G415" i="1"/>
  <c r="E458" i="1"/>
  <c r="E423" i="1"/>
  <c r="H440" i="1"/>
  <c r="F483" i="1"/>
  <c r="G440" i="1"/>
  <c r="F498" i="1"/>
  <c r="G439" i="1"/>
  <c r="E482" i="1"/>
  <c r="H439" i="1"/>
  <c r="F423" i="1"/>
  <c r="G446" i="1"/>
  <c r="E489" i="1"/>
  <c r="G506" i="1"/>
  <c r="H506" i="1"/>
  <c r="C508" i="1"/>
  <c r="C551" i="1" s="1"/>
  <c r="H447" i="1"/>
  <c r="F490" i="1"/>
  <c r="G442" i="1"/>
  <c r="E485" i="1"/>
  <c r="H415" i="1"/>
  <c r="F458" i="1"/>
  <c r="I579" i="1"/>
  <c r="F491" i="1"/>
  <c r="H448" i="1"/>
  <c r="F577" i="1"/>
  <c r="H577" i="1" s="1"/>
  <c r="G492" i="1"/>
  <c r="E456" i="1"/>
  <c r="G413" i="1"/>
  <c r="H413" i="1"/>
  <c r="E451" i="1"/>
  <c r="G449" i="1"/>
  <c r="F465" i="1"/>
  <c r="I422" i="1"/>
  <c r="H422" i="1"/>
  <c r="G422" i="1"/>
  <c r="E484" i="1"/>
  <c r="G441" i="1"/>
  <c r="E493" i="1"/>
  <c r="G450" i="1"/>
  <c r="G385" i="1"/>
  <c r="G417" i="1"/>
  <c r="E460" i="1"/>
  <c r="F451" i="1"/>
  <c r="E504" i="1"/>
  <c r="E590" i="1"/>
  <c r="H444" i="1"/>
  <c r="F487" i="1"/>
  <c r="F573" i="1"/>
  <c r="C579" i="1"/>
  <c r="F489" i="1"/>
  <c r="H446" i="1"/>
  <c r="H421" i="1"/>
  <c r="F464" i="1"/>
  <c r="F502" i="1"/>
  <c r="G421" i="1"/>
  <c r="E464" i="1"/>
  <c r="H417" i="1"/>
  <c r="H418" i="1"/>
  <c r="F461" i="1"/>
  <c r="E455" i="1"/>
  <c r="G412" i="1"/>
  <c r="G444" i="1"/>
  <c r="E487" i="1"/>
  <c r="E486" i="1"/>
  <c r="G443" i="1"/>
  <c r="H443" i="1"/>
  <c r="H380" i="1"/>
  <c r="F503" i="1"/>
  <c r="G416" i="1"/>
  <c r="E459" i="1"/>
  <c r="G488" i="1"/>
  <c r="F570" i="1" l="1"/>
  <c r="G428" i="1"/>
  <c r="E591" i="1"/>
  <c r="E573" i="1"/>
  <c r="H573" i="1" s="1"/>
  <c r="G529" i="1"/>
  <c r="G548" i="1"/>
  <c r="H548" i="1"/>
  <c r="H489" i="1"/>
  <c r="H531" i="1"/>
  <c r="H492" i="1"/>
  <c r="E576" i="1"/>
  <c r="H485" i="1"/>
  <c r="G525" i="1"/>
  <c r="H525" i="1"/>
  <c r="H491" i="1"/>
  <c r="H533" i="1"/>
  <c r="G528" i="1"/>
  <c r="H528" i="1"/>
  <c r="H505" i="1"/>
  <c r="H493" i="1"/>
  <c r="H578" i="1"/>
  <c r="H526" i="1"/>
  <c r="G526" i="1"/>
  <c r="F576" i="1"/>
  <c r="G576" i="1" s="1"/>
  <c r="H532" i="1"/>
  <c r="E471" i="1"/>
  <c r="G583" i="1"/>
  <c r="H583" i="1"/>
  <c r="G491" i="1"/>
  <c r="G451" i="1"/>
  <c r="H484" i="1"/>
  <c r="G497" i="1"/>
  <c r="H497" i="1"/>
  <c r="H423" i="1"/>
  <c r="H490" i="1"/>
  <c r="G577" i="1"/>
  <c r="G487" i="1"/>
  <c r="F591" i="1"/>
  <c r="G486" i="1"/>
  <c r="H486" i="1"/>
  <c r="E503" i="1"/>
  <c r="G460" i="1"/>
  <c r="F508" i="1"/>
  <c r="H465" i="1"/>
  <c r="G465" i="1"/>
  <c r="E507" i="1"/>
  <c r="G464" i="1"/>
  <c r="H458" i="1"/>
  <c r="F501" i="1"/>
  <c r="G489" i="1"/>
  <c r="E575" i="1"/>
  <c r="F471" i="1"/>
  <c r="E494" i="1"/>
  <c r="H483" i="1"/>
  <c r="G483" i="1"/>
  <c r="F569" i="1"/>
  <c r="F500" i="1"/>
  <c r="H457" i="1"/>
  <c r="F588" i="1"/>
  <c r="G568" i="1"/>
  <c r="H568" i="1"/>
  <c r="G423" i="1"/>
  <c r="F494" i="1"/>
  <c r="H464" i="1"/>
  <c r="F507" i="1"/>
  <c r="F593" i="1"/>
  <c r="H487" i="1"/>
  <c r="G493" i="1"/>
  <c r="E579" i="1"/>
  <c r="G458" i="1"/>
  <c r="E501" i="1"/>
  <c r="E587" i="1"/>
  <c r="H460" i="1"/>
  <c r="G456" i="1"/>
  <c r="E499" i="1"/>
  <c r="G541" i="1" s="1"/>
  <c r="H456" i="1"/>
  <c r="E500" i="1"/>
  <c r="G457" i="1"/>
  <c r="G484" i="1"/>
  <c r="E570" i="1"/>
  <c r="G570" i="1" s="1"/>
  <c r="G482" i="1"/>
  <c r="H482" i="1"/>
  <c r="G490" i="1"/>
  <c r="E498" i="1"/>
  <c r="G455" i="1"/>
  <c r="E466" i="1"/>
  <c r="G485" i="1"/>
  <c r="E571" i="1"/>
  <c r="G459" i="1"/>
  <c r="E502" i="1"/>
  <c r="G544" i="1" s="1"/>
  <c r="E572" i="1"/>
  <c r="H461" i="1"/>
  <c r="F504" i="1"/>
  <c r="F590" i="1" s="1"/>
  <c r="H590" i="1" s="1"/>
  <c r="G461" i="1"/>
  <c r="F466" i="1"/>
  <c r="G505" i="1"/>
  <c r="F575" i="1"/>
  <c r="C594" i="1"/>
  <c r="H455" i="1"/>
  <c r="H459" i="1"/>
  <c r="F589" i="1"/>
  <c r="G574" i="1"/>
  <c r="H451" i="1"/>
  <c r="F584" i="1"/>
  <c r="H428" i="1"/>
  <c r="H542" i="1" l="1"/>
  <c r="H529" i="1"/>
  <c r="H547" i="1"/>
  <c r="H541" i="1"/>
  <c r="E585" i="1"/>
  <c r="H471" i="1"/>
  <c r="H576" i="1"/>
  <c r="F594" i="1"/>
  <c r="H594" i="1" s="1"/>
  <c r="H536" i="1"/>
  <c r="G573" i="1"/>
  <c r="G531" i="1"/>
  <c r="H591" i="1"/>
  <c r="H504" i="1"/>
  <c r="H534" i="1"/>
  <c r="G534" i="1"/>
  <c r="F537" i="1"/>
  <c r="G527" i="1"/>
  <c r="H527" i="1"/>
  <c r="G507" i="1"/>
  <c r="G549" i="1"/>
  <c r="G535" i="1"/>
  <c r="H535" i="1"/>
  <c r="F587" i="1"/>
  <c r="G587" i="1" s="1"/>
  <c r="G543" i="1"/>
  <c r="H544" i="1"/>
  <c r="G503" i="1"/>
  <c r="H550" i="1"/>
  <c r="G550" i="1"/>
  <c r="G532" i="1"/>
  <c r="G504" i="1"/>
  <c r="E589" i="1"/>
  <c r="H589" i="1" s="1"/>
  <c r="E537" i="1"/>
  <c r="G547" i="1"/>
  <c r="H498" i="1"/>
  <c r="G542" i="1"/>
  <c r="G591" i="1"/>
  <c r="G536" i="1"/>
  <c r="G533" i="1"/>
  <c r="F509" i="1"/>
  <c r="G501" i="1"/>
  <c r="G575" i="1"/>
  <c r="H503" i="1"/>
  <c r="E514" i="1"/>
  <c r="F514" i="1"/>
  <c r="H494" i="1"/>
  <c r="H575" i="1"/>
  <c r="G466" i="1"/>
  <c r="G590" i="1"/>
  <c r="G502" i="1"/>
  <c r="E588" i="1"/>
  <c r="G588" i="1" s="1"/>
  <c r="G494" i="1"/>
  <c r="H570" i="1"/>
  <c r="G572" i="1"/>
  <c r="H572" i="1"/>
  <c r="G571" i="1"/>
  <c r="H571" i="1"/>
  <c r="E509" i="1"/>
  <c r="H508" i="1"/>
  <c r="G508" i="1"/>
  <c r="H502" i="1"/>
  <c r="H501" i="1"/>
  <c r="G579" i="1"/>
  <c r="H579" i="1"/>
  <c r="H466" i="1"/>
  <c r="G500" i="1"/>
  <c r="E586" i="1"/>
  <c r="G585" i="1"/>
  <c r="H585" i="1"/>
  <c r="H500" i="1"/>
  <c r="F586" i="1"/>
  <c r="E580" i="1"/>
  <c r="H507" i="1"/>
  <c r="H569" i="1"/>
  <c r="G569" i="1"/>
  <c r="F580" i="1"/>
  <c r="G498" i="1"/>
  <c r="E584" i="1"/>
  <c r="G584" i="1" s="1"/>
  <c r="G499" i="1"/>
  <c r="H499" i="1"/>
  <c r="E593" i="1"/>
  <c r="G593" i="1" s="1"/>
  <c r="G471" i="1"/>
  <c r="I594" i="1" l="1"/>
  <c r="G594" i="1"/>
  <c r="H587" i="1"/>
  <c r="F600" i="1"/>
  <c r="H537" i="1"/>
  <c r="H549" i="1"/>
  <c r="G509" i="1"/>
  <c r="G551" i="1"/>
  <c r="G589" i="1"/>
  <c r="G540" i="1"/>
  <c r="E552" i="1"/>
  <c r="G552" i="1" s="1"/>
  <c r="H540" i="1"/>
  <c r="G545" i="1"/>
  <c r="H545" i="1"/>
  <c r="H543" i="1"/>
  <c r="F557" i="1"/>
  <c r="F552" i="1"/>
  <c r="H546" i="1"/>
  <c r="G546" i="1"/>
  <c r="G537" i="1"/>
  <c r="G514" i="1"/>
  <c r="G580" i="1"/>
  <c r="H514" i="1"/>
  <c r="G586" i="1"/>
  <c r="H588" i="1"/>
  <c r="E600" i="1"/>
  <c r="H593" i="1"/>
  <c r="H584" i="1"/>
  <c r="H586" i="1"/>
  <c r="E595" i="1"/>
  <c r="G608" i="1"/>
  <c r="H580" i="1"/>
  <c r="F595" i="1"/>
  <c r="H509" i="1"/>
  <c r="G600" i="1" l="1"/>
  <c r="E557" i="1"/>
  <c r="G557" i="1" s="1"/>
  <c r="H552" i="1"/>
  <c r="H551" i="1"/>
  <c r="H557" i="1"/>
  <c r="H600" i="1"/>
  <c r="G613" i="1"/>
  <c r="H595" i="1"/>
  <c r="D608" i="1"/>
  <c r="F609" i="1"/>
  <c r="G595" i="1"/>
  <c r="F614" i="1" l="1"/>
  <c r="D613" i="1"/>
  <c r="D618" i="1" s="1"/>
  <c r="G618" i="1" s="1"/>
  <c r="F61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E4" authorId="0" shapeId="0" xr:uid="{3A8D8A7F-CA3D-964F-8DEB-8E6791F30C73}">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47" authorId="0" shapeId="0" xr:uid="{58F62AE8-031A-0946-A1BF-897450C23E62}">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90" authorId="0" shapeId="0" xr:uid="{63760B48-A3CE-794D-B554-375C4C6E3CB2}">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133" authorId="0" shapeId="0" xr:uid="{9CCDCEE5-E8DD-D145-88A3-C6C53ED34732}">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176" authorId="0" shapeId="0" xr:uid="{2928B52E-5B63-1843-8C2A-EA3226A65BC2}">
      <text>
        <r>
          <rPr>
            <b/>
            <sz val="9"/>
            <color indexed="8"/>
            <rFont val="Verdana"/>
            <family val="2"/>
          </rPr>
          <t>Christian Latour:</t>
        </r>
        <r>
          <rPr>
            <sz val="9"/>
            <color indexed="8"/>
            <rFont val="Verdana"/>
            <family val="2"/>
          </rPr>
          <t xml:space="preserve">
</t>
        </r>
        <r>
          <rPr>
            <sz val="9"/>
            <color indexed="8"/>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219" authorId="0" shapeId="0" xr:uid="{9028D5B0-AFEB-594F-94CD-476D5BA4FBE7}">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262" authorId="0" shapeId="0" xr:uid="{D7C1D1F8-4212-9746-B083-BDAF554C2B08}">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305" authorId="0" shapeId="0" xr:uid="{014780F1-C653-8A43-835C-C66964DB10CF}">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348" authorId="0" shapeId="0" xr:uid="{43BAC0A9-DAB6-AD44-9F4F-FC9DA84165E9}">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391" authorId="0" shapeId="0" xr:uid="{13047C4B-6E37-0643-BC61-DD02AACA245B}">
      <text>
        <r>
          <rPr>
            <b/>
            <sz val="9"/>
            <color indexed="8"/>
            <rFont val="Verdana"/>
            <family val="2"/>
          </rPr>
          <t>Christian Latour:</t>
        </r>
        <r>
          <rPr>
            <sz val="9"/>
            <color indexed="8"/>
            <rFont val="Verdana"/>
            <family val="2"/>
          </rPr>
          <t xml:space="preserve">
</t>
        </r>
        <r>
          <rPr>
            <sz val="9"/>
            <color indexed="8"/>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434" authorId="0" shapeId="0" xr:uid="{7AA32A47-D57A-9B4C-A1D7-223ECB35D9D5}">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477" authorId="0" shapeId="0" xr:uid="{7D945D6C-1512-6A40-979F-C937BB50DFDC}">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520" authorId="0" shapeId="0" xr:uid="{1F71AB5A-A1B5-E546-8E98-6156C3EBE746}">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 ref="E563" authorId="0" shapeId="0" xr:uid="{9C38EC1D-51FF-1840-B561-3FB7B536E39F}">
      <text>
        <r>
          <rPr>
            <b/>
            <sz val="9"/>
            <color rgb="FF000000"/>
            <rFont val="Verdana"/>
            <family val="2"/>
          </rPr>
          <t>Christian Latour:</t>
        </r>
        <r>
          <rPr>
            <sz val="9"/>
            <color rgb="FF000000"/>
            <rFont val="Verdana"/>
            <family val="2"/>
          </rPr>
          <t xml:space="preserve">
</t>
        </r>
        <r>
          <rPr>
            <sz val="9"/>
            <color rgb="FF000000"/>
            <rFont val="Verdana"/>
            <family val="2"/>
          </rPr>
          <t xml:space="preserve">Le coût de chaque plat doit provenir du livre de recettes standardisées de l'entreprise. Le livre de recettes doit contenir (pour chaque plat inscrit sur la carte) une fiche recette incluant le calcul du coût des ressources alimentaires utilisées. </t>
        </r>
      </text>
    </comment>
  </commentList>
</comments>
</file>

<file path=xl/sharedStrings.xml><?xml version="1.0" encoding="utf-8"?>
<sst xmlns="http://schemas.openxmlformats.org/spreadsheetml/2006/main" count="131" uniqueCount="63">
  <si>
    <t>1er semestre</t>
  </si>
  <si>
    <t>Coûts des ressources alimentaires pour chaque produit offert (voir recettes standardisées)</t>
  </si>
  <si>
    <t>Prix de vente par produit offert</t>
  </si>
  <si>
    <t xml:space="preserve">« Food &amp; Beverage Cost » </t>
  </si>
  <si>
    <t>Marge brute gagnée sur la vente de chaque produit offert</t>
  </si>
  <si>
    <t xml:space="preserve">Nombre d’unités moyen acheté par acheteur (Um/A)
</t>
  </si>
  <si>
    <t>Achalandage (A)</t>
  </si>
  <si>
    <t xml:space="preserve"> </t>
  </si>
  <si>
    <t>Les Petite Gâteries</t>
  </si>
  <si>
    <t>Petite Gâterie 1</t>
  </si>
  <si>
    <t>Petite Gâterie 2</t>
  </si>
  <si>
    <t>Petite Gâterie 3</t>
  </si>
  <si>
    <t>Petite Gâterie 4</t>
  </si>
  <si>
    <t>Petite Gâterie 5</t>
  </si>
  <si>
    <t>Petite Gâterie 6</t>
  </si>
  <si>
    <t>Petite Gâterie 7</t>
  </si>
  <si>
    <t>Petite Gâterie 8</t>
  </si>
  <si>
    <t>Petite Gâterie 9</t>
  </si>
  <si>
    <t>Petite Gâterie 10</t>
  </si>
  <si>
    <t>Petite Gâterie 11</t>
  </si>
  <si>
    <t>Petite Gâterie 12</t>
  </si>
  <si>
    <t>CmO—PmO—Food Cost—BmO</t>
  </si>
  <si>
    <t>Les Boissons  Gâteries</t>
  </si>
  <si>
    <t>Boisson spécial numéro 1</t>
  </si>
  <si>
    <t>Boisson spécial numéro 2</t>
  </si>
  <si>
    <t>Boisson spécial numéro 3</t>
  </si>
  <si>
    <t>Boisson spécial numéro 4</t>
  </si>
  <si>
    <t>Boisson spécial numéro 5</t>
  </si>
  <si>
    <t>Boisson spécial numéro 6</t>
  </si>
  <si>
    <t>Boisson spécial numéro 7</t>
  </si>
  <si>
    <t>Boisson spécial numéro 8</t>
  </si>
  <si>
    <t>Boisson spécial numéro 9</t>
  </si>
  <si>
    <t>Boisson spécial numéro 10</t>
  </si>
  <si>
    <t>Boisson spécial numéro 11</t>
  </si>
  <si>
    <t>Boisson spécial numéro 12</t>
  </si>
  <si>
    <t>CmO—PmO—Beverage Cost—Marge brute</t>
  </si>
  <si>
    <t>CmO</t>
  </si>
  <si>
    <t>PmO</t>
  </si>
  <si>
    <t>F&amp;BCmO</t>
  </si>
  <si>
    <t>BmO</t>
  </si>
  <si>
    <t>OFFRE TOTALE AVEC LES GÂTERIES ET LES CAFÉS GÂTERIES</t>
  </si>
  <si>
    <t>CmO—PmO—F&amp;B cost moyen offert—Marge brute</t>
  </si>
  <si>
    <t>2e semestre</t>
  </si>
  <si>
    <t>LISTE DE PRODUITS ET DE PRIX (ANNÉE 1)</t>
  </si>
  <si>
    <t>Demande nourriture</t>
  </si>
  <si>
    <t>A</t>
  </si>
  <si>
    <t>Um/A</t>
  </si>
  <si>
    <t>Demande boisson</t>
  </si>
  <si>
    <t>Demande totale</t>
  </si>
  <si>
    <t>LISTE DE PRODUITS ET DE PRIX (Période 1)</t>
  </si>
  <si>
    <t>LISTE DE PRODUITS ET DE PRIX (Période 2)</t>
  </si>
  <si>
    <t>LISTE DE PRODUITS ET DE PRIX (Période 3)</t>
  </si>
  <si>
    <t>LISTE DE PRODUITS ET DE PRIX (Période 4)</t>
  </si>
  <si>
    <t>LISTE DE PRODUITS ET DE PRIX (Période 5)</t>
  </si>
  <si>
    <t>LISTE DE PRODUITS ET DE PRIX (Période 6)</t>
  </si>
  <si>
    <t>LISTE DE PRODUITS ET DE PRIX (Période 8)</t>
  </si>
  <si>
    <t>LISTE DE PRODUITS ET DE PRIX (Période 9)</t>
  </si>
  <si>
    <t>LISTE DE PRODUITS ET DE PRIX (Période 10)</t>
  </si>
  <si>
    <t>LISTE DE PRODUITS ET DE PRIX (Période 11)</t>
  </si>
  <si>
    <t>LISTE DE PRODUITS ET DE PRIX (Période 12)</t>
  </si>
  <si>
    <t>LISTE DE PRODUITS ET DE PRIX (Période 7)</t>
  </si>
  <si>
    <t>LISTE DE PRODUITS ET DE PRIX (Période 13)</t>
  </si>
  <si>
    <t>Dm/A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</si>
</sst>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_ * #,##0.0000_)\ &quot;$&quot;_ ;_ * \(#,##0.0000\)\ &quot;$&quot;_ ;_ * &quot;-&quot;????_)\ &quot;$&quot;_ ;_ @_ "/>
    <numFmt numFmtId="166" formatCode="_ * #,##0.00000_)\ &quot;$&quot;_ ;_ * \(#,##0.00000\)\ &quot;$&quot;_ ;_ * &quot;-&quot;?????_)\ &quot;$&quot;_ ;_ @_ "/>
    <numFmt numFmtId="167" formatCode="0.0000%"/>
    <numFmt numFmtId="168" formatCode="0.00000%"/>
    <numFmt numFmtId="169" formatCode="0.0000"/>
    <numFmt numFmtId="170" formatCode="0.000"/>
    <numFmt numFmtId="171" formatCode="&quot;$&quot;#,##0_);\(&quot;$&quot;#,##0\)"/>
    <numFmt numFmtId="172" formatCode="#,##0.00000\ &quot;$&quot;_);\(#,##0.00000\ &quot;$&quot;\)"/>
  </numFmts>
  <fonts count="34" x14ac:knownFonts="1">
    <font>
      <sz val="12"/>
      <color theme="1"/>
      <name val="Calibri"/>
      <family val="2"/>
      <scheme val="minor"/>
    </font>
    <font>
      <sz val="10"/>
      <name val="Arial"/>
      <family val="2"/>
    </font>
    <font>
      <sz val="10"/>
      <name val="Verdana"/>
      <family val="2"/>
    </font>
    <font>
      <b/>
      <sz val="17"/>
      <color theme="0"/>
      <name val="Arial"/>
      <family val="2"/>
    </font>
    <font>
      <b/>
      <sz val="17"/>
      <name val="Arial"/>
      <family val="2"/>
    </font>
    <font>
      <b/>
      <sz val="12"/>
      <name val="Arial"/>
      <family val="2"/>
      <charset val="204"/>
    </font>
    <font>
      <b/>
      <sz val="10"/>
      <name val="Arial"/>
      <family val="2"/>
      <charset val="204"/>
    </font>
    <font>
      <b/>
      <sz val="10"/>
      <name val="Verdana"/>
      <family val="2"/>
    </font>
    <font>
      <sz val="12"/>
      <name val="Verdana"/>
      <family val="2"/>
    </font>
    <font>
      <b/>
      <sz val="12"/>
      <name val="Verdana"/>
      <family val="2"/>
    </font>
    <font>
      <b/>
      <u/>
      <sz val="10"/>
      <name val="Verdana"/>
      <family val="2"/>
    </font>
    <font>
      <sz val="12"/>
      <name val="Arial"/>
      <family val="2"/>
    </font>
    <font>
      <b/>
      <sz val="12"/>
      <name val="Arial"/>
      <family val="2"/>
    </font>
    <font>
      <b/>
      <u val="singleAccounting"/>
      <sz val="10"/>
      <name val="Verdana"/>
      <family val="2"/>
    </font>
    <font>
      <b/>
      <sz val="12"/>
      <color rgb="FF0070C0"/>
      <name val="Arial"/>
      <family val="2"/>
    </font>
    <font>
      <b/>
      <u val="singleAccounting"/>
      <sz val="12"/>
      <name val="Arial"/>
      <family val="2"/>
    </font>
    <font>
      <b/>
      <u/>
      <sz val="12"/>
      <name val="Arial"/>
      <family val="2"/>
    </font>
    <font>
      <b/>
      <u val="singleAccounting"/>
      <sz val="10"/>
      <color theme="1"/>
      <name val="Verdana"/>
      <family val="2"/>
    </font>
    <font>
      <b/>
      <u/>
      <sz val="10"/>
      <name val="Arial"/>
      <family val="2"/>
    </font>
    <font>
      <b/>
      <u val="singleAccounting"/>
      <sz val="10"/>
      <name val="Arial"/>
      <family val="2"/>
    </font>
    <font>
      <b/>
      <sz val="10"/>
      <name val="Arial"/>
      <family val="2"/>
    </font>
    <font>
      <b/>
      <sz val="24"/>
      <name val="Arial"/>
      <family val="2"/>
    </font>
    <font>
      <b/>
      <sz val="20"/>
      <name val="Arial"/>
      <family val="2"/>
    </font>
    <font>
      <b/>
      <sz val="20"/>
      <color theme="1"/>
      <name val="Arial"/>
      <family val="2"/>
    </font>
    <font>
      <b/>
      <sz val="9"/>
      <color rgb="FF000000"/>
      <name val="Verdana"/>
      <family val="2"/>
    </font>
    <font>
      <sz val="9"/>
      <color rgb="FF000000"/>
      <name val="Verdana"/>
      <family val="2"/>
    </font>
    <font>
      <b/>
      <sz val="9"/>
      <color indexed="8"/>
      <name val="Verdana"/>
      <family val="2"/>
    </font>
    <font>
      <sz val="9"/>
      <color indexed="8"/>
      <name val="Verdana"/>
      <family val="2"/>
    </font>
    <font>
      <b/>
      <u val="singleAccounting"/>
      <sz val="12"/>
      <color rgb="FF0070C0"/>
      <name val="Arial"/>
      <family val="2"/>
    </font>
    <font>
      <b/>
      <u/>
      <sz val="10"/>
      <color rgb="FF0070C0"/>
      <name val="Verdana"/>
      <family val="2"/>
    </font>
    <font>
      <b/>
      <u val="singleAccounting"/>
      <sz val="10"/>
      <color rgb="FF0070C0"/>
      <name val="Verdana"/>
      <family val="2"/>
    </font>
    <font>
      <sz val="12"/>
      <color rgb="FF0070C0"/>
      <name val="Arial"/>
      <family val="2"/>
    </font>
    <font>
      <b/>
      <u val="singleAccounting"/>
      <sz val="10"/>
      <color theme="1"/>
      <name val="Arial"/>
      <family val="2"/>
    </font>
    <font>
      <b/>
      <sz val="10"/>
      <color theme="1"/>
      <name val="Verdana"/>
      <family val="2"/>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19">
    <border>
      <left/>
      <right/>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indexed="64"/>
      </left>
      <right style="thick">
        <color indexed="64"/>
      </right>
      <top/>
      <bottom style="thick">
        <color indexed="64"/>
      </bottom>
      <diagonal/>
    </border>
    <border>
      <left style="thick">
        <color auto="1"/>
      </left>
      <right style="thick">
        <color auto="1"/>
      </right>
      <top style="hair">
        <color auto="1"/>
      </top>
      <bottom/>
      <diagonal/>
    </border>
    <border>
      <left/>
      <right/>
      <top/>
      <bottom style="mediumDashed">
        <color auto="1"/>
      </bottom>
      <diagonal/>
    </border>
    <border>
      <left/>
      <right/>
      <top style="mediumDashed">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right style="thick">
        <color auto="1"/>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auto="1"/>
      </left>
      <right/>
      <top style="thick">
        <color auto="1"/>
      </top>
      <bottom style="thick">
        <color auto="1"/>
      </bottom>
      <diagonal/>
    </border>
    <border>
      <left/>
      <right/>
      <top style="thick">
        <color auto="1"/>
      </top>
      <bottom style="thick">
        <color auto="1"/>
      </bottom>
      <diagonal/>
    </border>
  </borders>
  <cellStyleXfs count="3">
    <xf numFmtId="0" fontId="0" fillId="0" borderId="0"/>
    <xf numFmtId="0" fontId="1" fillId="0" borderId="0"/>
    <xf numFmtId="0" fontId="2" fillId="0" borderId="0"/>
  </cellStyleXfs>
  <cellXfs count="124">
    <xf numFmtId="0" fontId="0" fillId="0" borderId="0" xfId="0"/>
    <xf numFmtId="0" fontId="1" fillId="0" borderId="0" xfId="1"/>
    <xf numFmtId="0" fontId="3" fillId="2" borderId="0" xfId="1" applyFont="1" applyFill="1" applyAlignment="1">
      <alignment horizontal="center"/>
    </xf>
    <xf numFmtId="164" fontId="1" fillId="0" borderId="0" xfId="1" applyNumberFormat="1"/>
    <xf numFmtId="0" fontId="4" fillId="0" borderId="0" xfId="1" applyFont="1" applyAlignment="1">
      <alignment horizontal="center"/>
    </xf>
    <xf numFmtId="0" fontId="6" fillId="0" borderId="0" xfId="1" applyFont="1" applyAlignment="1">
      <alignment horizontal="center" vertical="center" wrapText="1"/>
    </xf>
    <xf numFmtId="0" fontId="7" fillId="0" borderId="0" xfId="2" applyFont="1" applyAlignment="1">
      <alignment horizontal="center" vertical="center" wrapText="1"/>
    </xf>
    <xf numFmtId="10" fontId="1" fillId="0" borderId="0" xfId="1" applyNumberFormat="1"/>
    <xf numFmtId="2" fontId="10" fillId="0" borderId="0" xfId="1" applyNumberFormat="1" applyFont="1" applyAlignment="1">
      <alignment horizontal="center"/>
    </xf>
    <xf numFmtId="0" fontId="11" fillId="0" borderId="0" xfId="1" applyFont="1"/>
    <xf numFmtId="0" fontId="12" fillId="0" borderId="0" xfId="1" applyFont="1"/>
    <xf numFmtId="164" fontId="11" fillId="0" borderId="0" xfId="1" applyNumberFormat="1" applyFont="1"/>
    <xf numFmtId="10" fontId="11" fillId="0" borderId="0" xfId="1" applyNumberFormat="1" applyFont="1"/>
    <xf numFmtId="2" fontId="10" fillId="0" borderId="1" xfId="1" applyNumberFormat="1" applyFont="1" applyBorder="1" applyAlignment="1">
      <alignment horizontal="center"/>
    </xf>
    <xf numFmtId="1" fontId="13" fillId="0" borderId="1" xfId="1" applyNumberFormat="1" applyFont="1" applyBorder="1" applyAlignment="1">
      <alignment horizontal="center"/>
    </xf>
    <xf numFmtId="164" fontId="11" fillId="0" borderId="0" xfId="1" applyNumberFormat="1" applyFont="1" applyAlignment="1">
      <alignment horizontal="center"/>
    </xf>
    <xf numFmtId="164" fontId="14" fillId="0" borderId="0" xfId="1" applyNumberFormat="1" applyFont="1" applyAlignment="1">
      <alignment horizontal="center"/>
    </xf>
    <xf numFmtId="10" fontId="11" fillId="0" borderId="0" xfId="1" applyNumberFormat="1" applyFont="1" applyAlignment="1">
      <alignment horizontal="center"/>
    </xf>
    <xf numFmtId="164" fontId="11" fillId="0" borderId="0" xfId="1" applyNumberFormat="1" applyFont="1" applyAlignment="1">
      <alignment horizontal="right"/>
    </xf>
    <xf numFmtId="9" fontId="11" fillId="0" borderId="0" xfId="1" applyNumberFormat="1" applyFont="1" applyAlignment="1">
      <alignment horizontal="center" vertical="center" wrapText="1"/>
    </xf>
    <xf numFmtId="2" fontId="10" fillId="0" borderId="4" xfId="1" applyNumberFormat="1" applyFont="1" applyBorder="1" applyAlignment="1">
      <alignment horizontal="center"/>
    </xf>
    <xf numFmtId="1" fontId="13" fillId="0" borderId="2" xfId="1" applyNumberFormat="1" applyFont="1" applyBorder="1" applyAlignment="1">
      <alignment horizontal="center"/>
    </xf>
    <xf numFmtId="9" fontId="1" fillId="0" borderId="0" xfId="1" applyNumberFormat="1" applyAlignment="1">
      <alignment horizontal="center" vertical="center" wrapText="1"/>
    </xf>
    <xf numFmtId="2" fontId="10" fillId="0" borderId="2" xfId="1" applyNumberFormat="1" applyFont="1" applyBorder="1" applyAlignment="1">
      <alignment horizontal="center"/>
    </xf>
    <xf numFmtId="0" fontId="11" fillId="0" borderId="5" xfId="1" applyFont="1" applyBorder="1"/>
    <xf numFmtId="164" fontId="14" fillId="0" borderId="5" xfId="1" applyNumberFormat="1" applyFont="1" applyBorder="1" applyAlignment="1">
      <alignment horizontal="center"/>
    </xf>
    <xf numFmtId="10" fontId="11" fillId="0" borderId="5" xfId="1" applyNumberFormat="1" applyFont="1" applyBorder="1" applyAlignment="1">
      <alignment horizontal="center"/>
    </xf>
    <xf numFmtId="164" fontId="11" fillId="0" borderId="5" xfId="1" applyNumberFormat="1" applyFont="1" applyBorder="1" applyAlignment="1">
      <alignment horizontal="right"/>
    </xf>
    <xf numFmtId="164" fontId="11" fillId="0" borderId="5" xfId="1" applyNumberFormat="1" applyFont="1" applyBorder="1"/>
    <xf numFmtId="165" fontId="15" fillId="0" borderId="0" xfId="1" applyNumberFormat="1" applyFont="1" applyAlignment="1">
      <alignment horizontal="center"/>
    </xf>
    <xf numFmtId="166" fontId="15" fillId="0" borderId="0" xfId="1" applyNumberFormat="1" applyFont="1" applyAlignment="1">
      <alignment horizontal="center"/>
    </xf>
    <xf numFmtId="167" fontId="15" fillId="0" borderId="0" xfId="1" applyNumberFormat="1" applyFont="1" applyAlignment="1">
      <alignment horizontal="center"/>
    </xf>
    <xf numFmtId="165" fontId="15" fillId="0" borderId="0" xfId="1" applyNumberFormat="1" applyFont="1" applyAlignment="1">
      <alignment horizontal="right"/>
    </xf>
    <xf numFmtId="164" fontId="15" fillId="0" borderId="0" xfId="1" applyNumberFormat="1" applyFont="1"/>
    <xf numFmtId="2" fontId="15" fillId="0" borderId="2" xfId="1" applyNumberFormat="1" applyFont="1" applyBorder="1" applyAlignment="1">
      <alignment horizontal="center"/>
    </xf>
    <xf numFmtId="0" fontId="11" fillId="0" borderId="0" xfId="1" applyFont="1" applyAlignment="1">
      <alignment horizontal="right"/>
    </xf>
    <xf numFmtId="167" fontId="16" fillId="0" borderId="0" xfId="1" applyNumberFormat="1" applyFont="1" applyAlignment="1">
      <alignment horizontal="center"/>
    </xf>
    <xf numFmtId="0" fontId="11" fillId="0" borderId="7" xfId="1" applyFont="1" applyBorder="1"/>
    <xf numFmtId="0" fontId="12" fillId="0" borderId="8" xfId="1" applyFont="1" applyBorder="1"/>
    <xf numFmtId="164" fontId="15" fillId="0" borderId="8" xfId="1" applyNumberFormat="1" applyFont="1" applyBorder="1" applyAlignment="1">
      <alignment horizontal="center"/>
    </xf>
    <xf numFmtId="10" fontId="16" fillId="0" borderId="8" xfId="1" applyNumberFormat="1" applyFont="1" applyBorder="1"/>
    <xf numFmtId="164" fontId="15" fillId="0" borderId="8" xfId="1" applyNumberFormat="1" applyFont="1" applyBorder="1" applyAlignment="1">
      <alignment horizontal="right"/>
    </xf>
    <xf numFmtId="164" fontId="15" fillId="0" borderId="9" xfId="1" applyNumberFormat="1" applyFont="1" applyBorder="1"/>
    <xf numFmtId="0" fontId="2" fillId="0" borderId="0" xfId="2"/>
    <xf numFmtId="0" fontId="11" fillId="0" borderId="10" xfId="1" applyFont="1" applyBorder="1"/>
    <xf numFmtId="164" fontId="12" fillId="0" borderId="11" xfId="1" applyNumberFormat="1" applyFont="1" applyBorder="1" applyAlignment="1">
      <alignment horizontal="center"/>
    </xf>
    <xf numFmtId="10" fontId="12" fillId="0" borderId="11" xfId="1" applyNumberFormat="1" applyFont="1" applyBorder="1" applyAlignment="1">
      <alignment horizontal="center"/>
    </xf>
    <xf numFmtId="164" fontId="12" fillId="0" borderId="12" xfId="1" applyNumberFormat="1" applyFont="1" applyBorder="1" applyAlignment="1">
      <alignment horizontal="center"/>
    </xf>
    <xf numFmtId="164" fontId="12" fillId="0" borderId="13" xfId="1" applyNumberFormat="1" applyFont="1" applyBorder="1" applyAlignment="1">
      <alignment horizontal="center"/>
    </xf>
    <xf numFmtId="0" fontId="16" fillId="0" borderId="0" xfId="1" applyFont="1"/>
    <xf numFmtId="0" fontId="11" fillId="0" borderId="13" xfId="1" applyFont="1" applyBorder="1"/>
    <xf numFmtId="168" fontId="16" fillId="0" borderId="0" xfId="1" applyNumberFormat="1" applyFont="1" applyAlignment="1">
      <alignment horizontal="center"/>
    </xf>
    <xf numFmtId="166" fontId="15" fillId="0" borderId="0" xfId="1" applyNumberFormat="1" applyFont="1" applyAlignment="1">
      <alignment horizontal="right"/>
    </xf>
    <xf numFmtId="164" fontId="15" fillId="0" borderId="13" xfId="1" applyNumberFormat="1" applyFont="1" applyBorder="1" applyAlignment="1">
      <alignment horizontal="center"/>
    </xf>
    <xf numFmtId="1" fontId="17" fillId="0" borderId="2" xfId="1" applyNumberFormat="1" applyFont="1" applyBorder="1" applyAlignment="1">
      <alignment horizontal="center"/>
    </xf>
    <xf numFmtId="164" fontId="12" fillId="0" borderId="0" xfId="1" applyNumberFormat="1" applyFont="1" applyAlignment="1">
      <alignment horizontal="center"/>
    </xf>
    <xf numFmtId="10" fontId="12" fillId="0" borderId="0" xfId="1" applyNumberFormat="1" applyFont="1" applyAlignment="1">
      <alignment horizontal="center"/>
    </xf>
    <xf numFmtId="0" fontId="12" fillId="0" borderId="0" xfId="1" applyFont="1" applyAlignment="1">
      <alignment horizontal="center"/>
    </xf>
    <xf numFmtId="0" fontId="12" fillId="0" borderId="13" xfId="1" applyFont="1" applyBorder="1" applyAlignment="1">
      <alignment horizontal="center"/>
    </xf>
    <xf numFmtId="0" fontId="11" fillId="0" borderId="14" xfId="1" applyFont="1" applyBorder="1"/>
    <xf numFmtId="0" fontId="16" fillId="0" borderId="15" xfId="1" applyFont="1" applyBorder="1"/>
    <xf numFmtId="164" fontId="12" fillId="0" borderId="15" xfId="1" applyNumberFormat="1" applyFont="1" applyBorder="1" applyAlignment="1">
      <alignment horizontal="center"/>
    </xf>
    <xf numFmtId="10" fontId="12" fillId="0" borderId="15" xfId="1" applyNumberFormat="1" applyFont="1" applyBorder="1" applyAlignment="1">
      <alignment horizontal="center"/>
    </xf>
    <xf numFmtId="0" fontId="12" fillId="0" borderId="15" xfId="1" applyFont="1" applyBorder="1" applyAlignment="1">
      <alignment horizontal="center"/>
    </xf>
    <xf numFmtId="0" fontId="12" fillId="0" borderId="16" xfId="1" applyFont="1" applyBorder="1" applyAlignment="1">
      <alignment horizontal="center"/>
    </xf>
    <xf numFmtId="2" fontId="10" fillId="0" borderId="3" xfId="1" applyNumberFormat="1" applyFont="1" applyBorder="1" applyAlignment="1">
      <alignment horizontal="center"/>
    </xf>
    <xf numFmtId="1" fontId="13" fillId="0" borderId="3" xfId="1" applyNumberFormat="1" applyFont="1" applyBorder="1" applyAlignment="1">
      <alignment horizontal="center"/>
    </xf>
    <xf numFmtId="1" fontId="13" fillId="0" borderId="0" xfId="1" applyNumberFormat="1" applyFont="1" applyAlignment="1">
      <alignment horizontal="center"/>
    </xf>
    <xf numFmtId="164" fontId="14" fillId="3" borderId="0" xfId="1" applyNumberFormat="1" applyFont="1" applyFill="1" applyAlignment="1">
      <alignment horizontal="center"/>
    </xf>
    <xf numFmtId="2" fontId="18" fillId="0" borderId="0" xfId="1" applyNumberFormat="1" applyFont="1" applyAlignment="1">
      <alignment horizontal="center"/>
    </xf>
    <xf numFmtId="1" fontId="19" fillId="0" borderId="0" xfId="1" applyNumberFormat="1" applyFont="1" applyAlignment="1">
      <alignment horizontal="center"/>
    </xf>
    <xf numFmtId="0" fontId="21" fillId="0" borderId="0" xfId="1" applyFont="1" applyAlignment="1">
      <alignment horizontal="center"/>
    </xf>
    <xf numFmtId="0" fontId="22" fillId="0" borderId="0" xfId="1" applyFont="1" applyAlignment="1">
      <alignment horizontal="center"/>
    </xf>
    <xf numFmtId="171" fontId="22" fillId="0" borderId="11" xfId="1" applyNumberFormat="1" applyFont="1" applyBorder="1" applyAlignment="1">
      <alignment horizontal="center"/>
    </xf>
    <xf numFmtId="1" fontId="23" fillId="0" borderId="11" xfId="1" applyNumberFormat="1" applyFont="1" applyBorder="1" applyAlignment="1">
      <alignment horizontal="center"/>
    </xf>
    <xf numFmtId="2" fontId="23" fillId="0" borderId="11" xfId="1" applyNumberFormat="1" applyFont="1" applyBorder="1" applyAlignment="1">
      <alignment horizontal="center"/>
    </xf>
    <xf numFmtId="172" fontId="22" fillId="0" borderId="11" xfId="1" applyNumberFormat="1" applyFont="1" applyBorder="1" applyAlignment="1">
      <alignment horizontal="center"/>
    </xf>
    <xf numFmtId="2" fontId="20" fillId="0" borderId="0" xfId="1" applyNumberFormat="1" applyFont="1" applyAlignment="1">
      <alignment horizontal="center"/>
    </xf>
    <xf numFmtId="170" fontId="23" fillId="0" borderId="11" xfId="1" applyNumberFormat="1" applyFont="1" applyBorder="1" applyAlignment="1">
      <alignment horizontal="center"/>
    </xf>
    <xf numFmtId="2" fontId="1" fillId="0" borderId="0" xfId="1" applyNumberFormat="1" applyAlignment="1">
      <alignment horizontal="center"/>
    </xf>
    <xf numFmtId="0" fontId="2" fillId="0" borderId="0" xfId="2" applyBorder="1" applyAlignment="1">
      <alignment wrapText="1"/>
    </xf>
    <xf numFmtId="0" fontId="11" fillId="0" borderId="0" xfId="1" applyFont="1" applyBorder="1"/>
    <xf numFmtId="0" fontId="16" fillId="0" borderId="0" xfId="1" applyFont="1" applyBorder="1"/>
    <xf numFmtId="164" fontId="12" fillId="0" borderId="0" xfId="1" applyNumberFormat="1" applyFont="1" applyBorder="1" applyAlignment="1">
      <alignment horizontal="center"/>
    </xf>
    <xf numFmtId="10" fontId="12" fillId="0" borderId="0" xfId="1" applyNumberFormat="1" applyFont="1" applyBorder="1" applyAlignment="1">
      <alignment horizontal="center"/>
    </xf>
    <xf numFmtId="0" fontId="12" fillId="0" borderId="0" xfId="1" applyFont="1" applyBorder="1" applyAlignment="1">
      <alignment horizontal="center"/>
    </xf>
    <xf numFmtId="2" fontId="10" fillId="0" borderId="0" xfId="1" applyNumberFormat="1" applyFont="1" applyBorder="1" applyAlignment="1">
      <alignment horizontal="center"/>
    </xf>
    <xf numFmtId="1" fontId="13" fillId="0" borderId="0" xfId="1" applyNumberFormat="1" applyFont="1" applyBorder="1" applyAlignment="1">
      <alignment horizontal="center"/>
    </xf>
    <xf numFmtId="164" fontId="14" fillId="3" borderId="5" xfId="1" applyNumberFormat="1" applyFont="1" applyFill="1" applyBorder="1" applyAlignment="1">
      <alignment horizontal="center"/>
    </xf>
    <xf numFmtId="166" fontId="15" fillId="3" borderId="0" xfId="1" applyNumberFormat="1" applyFont="1" applyFill="1" applyAlignment="1">
      <alignment horizontal="center"/>
    </xf>
    <xf numFmtId="164" fontId="11" fillId="3" borderId="0" xfId="1" applyNumberFormat="1" applyFont="1" applyFill="1" applyAlignment="1">
      <alignment horizontal="center"/>
    </xf>
    <xf numFmtId="2" fontId="28" fillId="0" borderId="2" xfId="1" applyNumberFormat="1" applyFont="1" applyBorder="1" applyAlignment="1">
      <alignment horizontal="center"/>
    </xf>
    <xf numFmtId="2" fontId="29" fillId="0" borderId="2" xfId="1" applyNumberFormat="1" applyFont="1" applyBorder="1" applyAlignment="1">
      <alignment horizontal="center"/>
    </xf>
    <xf numFmtId="164" fontId="31" fillId="0" borderId="0" xfId="1" applyNumberFormat="1" applyFont="1" applyAlignment="1">
      <alignment horizontal="center"/>
    </xf>
    <xf numFmtId="164" fontId="31" fillId="0" borderId="5" xfId="1" applyNumberFormat="1" applyFont="1" applyBorder="1" applyAlignment="1">
      <alignment horizontal="center"/>
    </xf>
    <xf numFmtId="1" fontId="30" fillId="0" borderId="2" xfId="1" applyNumberFormat="1" applyFont="1" applyBorder="1" applyAlignment="1" applyProtection="1">
      <alignment horizontal="center"/>
      <protection locked="0"/>
    </xf>
    <xf numFmtId="1" fontId="17" fillId="0" borderId="2" xfId="1" applyNumberFormat="1" applyFont="1" applyBorder="1" applyAlignment="1" applyProtection="1">
      <alignment horizontal="center"/>
    </xf>
    <xf numFmtId="1" fontId="17" fillId="0" borderId="1" xfId="1" applyNumberFormat="1" applyFont="1" applyBorder="1" applyAlignment="1">
      <alignment horizontal="center"/>
    </xf>
    <xf numFmtId="1" fontId="17" fillId="0" borderId="3" xfId="1" applyNumberFormat="1" applyFont="1" applyBorder="1" applyAlignment="1">
      <alignment horizontal="center"/>
    </xf>
    <xf numFmtId="1" fontId="32" fillId="0" borderId="0" xfId="1" applyNumberFormat="1" applyFont="1" applyAlignment="1">
      <alignment horizontal="center"/>
    </xf>
    <xf numFmtId="169" fontId="11" fillId="0" borderId="0" xfId="1" applyNumberFormat="1" applyFont="1"/>
    <xf numFmtId="0" fontId="22" fillId="0" borderId="17" xfId="1" applyFont="1" applyBorder="1" applyAlignment="1">
      <alignment horizontal="center"/>
    </xf>
    <xf numFmtId="9" fontId="11" fillId="0" borderId="6" xfId="1" applyNumberFormat="1" applyFont="1" applyBorder="1" applyAlignment="1">
      <alignment horizontal="center" vertical="center" wrapText="1"/>
    </xf>
    <xf numFmtId="9" fontId="1" fillId="0" borderId="0" xfId="1" applyNumberFormat="1" applyAlignment="1">
      <alignment horizontal="center" vertical="center" wrapText="1"/>
    </xf>
    <xf numFmtId="172" fontId="22" fillId="0" borderId="18" xfId="1" applyNumberFormat="1" applyFont="1" applyBorder="1" applyAlignment="1">
      <alignment horizontal="center" wrapText="1"/>
    </xf>
    <xf numFmtId="0" fontId="1" fillId="0" borderId="12" xfId="1" applyBorder="1" applyAlignment="1">
      <alignment horizontal="center" wrapText="1"/>
    </xf>
    <xf numFmtId="9" fontId="11" fillId="0" borderId="0" xfId="1" applyNumberFormat="1" applyFont="1" applyAlignment="1">
      <alignment horizontal="center" vertical="center" wrapText="1"/>
    </xf>
    <xf numFmtId="9" fontId="1" fillId="0" borderId="5" xfId="1" applyNumberFormat="1" applyBorder="1" applyAlignment="1">
      <alignment horizontal="center" vertical="center" wrapText="1"/>
    </xf>
    <xf numFmtId="0" fontId="5" fillId="0" borderId="1" xfId="1" applyFont="1" applyBorder="1" applyAlignment="1">
      <alignment horizontal="center" vertical="center" wrapText="1"/>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9" fillId="0" borderId="2" xfId="2" applyFont="1" applyBorder="1" applyAlignment="1">
      <alignment horizontal="center" vertical="center" wrapText="1"/>
    </xf>
    <xf numFmtId="0" fontId="9" fillId="0" borderId="3" xfId="2" applyFont="1" applyBorder="1" applyAlignment="1">
      <alignment horizontal="center" vertical="center" wrapText="1"/>
    </xf>
    <xf numFmtId="0" fontId="7" fillId="0" borderId="1" xfId="1" applyFont="1" applyBorder="1" applyAlignment="1">
      <alignment horizontal="center" vertical="center" wrapText="1"/>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33" fillId="0" borderId="1" xfId="1" applyFont="1" applyBorder="1" applyAlignment="1">
      <alignment horizontal="center" vertical="center" wrapText="1"/>
    </xf>
    <xf numFmtId="0" fontId="33" fillId="0" borderId="2" xfId="1" applyFont="1" applyBorder="1" applyAlignment="1">
      <alignment horizontal="center" vertical="center" wrapText="1"/>
    </xf>
    <xf numFmtId="0" fontId="33" fillId="0" borderId="3" xfId="1" applyFont="1" applyBorder="1" applyAlignment="1">
      <alignment horizontal="center" vertical="center" wrapText="1"/>
    </xf>
    <xf numFmtId="0" fontId="1" fillId="0" borderId="0" xfId="1" applyAlignment="1">
      <alignment wrapText="1"/>
    </xf>
    <xf numFmtId="0" fontId="2" fillId="0" borderId="0" xfId="2" applyAlignment="1">
      <alignment wrapText="1"/>
    </xf>
    <xf numFmtId="0" fontId="2" fillId="0" borderId="15" xfId="2" applyBorder="1" applyAlignment="1">
      <alignment wrapText="1"/>
    </xf>
  </cellXfs>
  <cellStyles count="3">
    <cellStyle name="Normal" xfId="0" builtinId="0"/>
    <cellStyle name="Normal 2" xfId="1" xr:uid="{1A5320A2-4BE9-D544-97CA-F2130EE9F52A}"/>
    <cellStyle name="Normal 2 2" xfId="2" xr:uid="{7337C475-C03A-A84A-A98D-9F16F608F3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ode&#768;leBudge&#769;tai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rier 2021"/>
      <sheetName val="Achalandage 2021"/>
      <sheetName val="% Occupation"/>
      <sheetName val="Formule pour le calcul D"/>
      <sheetName val="Calcul CmO et PmO"/>
      <sheetName val="Coût marchandises vendues"/>
      <sheetName val="État des Résultats"/>
      <sheetName val=" Total des coûts de MO"/>
      <sheetName val="Salaire (planification)"/>
      <sheetName val="Coût d'occupation "/>
      <sheetName val="Coût direct d'exploitation "/>
      <sheetName val="Musique &amp; Divertissement"/>
      <sheetName val="Mark &amp; Communication marketing"/>
      <sheetName val="Services publics"/>
      <sheetName val="Administration &amp; Frais généraux"/>
      <sheetName val="Entretien &amp; Réparation"/>
      <sheetName val="Frais financier"/>
      <sheetName val="Amortissement"/>
      <sheetName val="Feuil1"/>
      <sheetName val="Bilan début-fin"/>
      <sheetName val="Tableau de trésorerie"/>
      <sheetName val="Ind. de performance"/>
      <sheetName val="Questions"/>
      <sheetName val="État des Résultats (2)"/>
      <sheetName val="Bilan"/>
    </sheetNames>
    <sheetDataSet>
      <sheetData sheetId="0">
        <row r="34">
          <cell r="C34" t="str">
            <v>Vendredi</v>
          </cell>
        </row>
      </sheetData>
      <sheetData sheetId="1"/>
      <sheetData sheetId="2"/>
      <sheetData sheetId="3">
        <row r="10">
          <cell r="AH10">
            <v>1</v>
          </cell>
        </row>
      </sheetData>
      <sheetData sheetId="4"/>
      <sheetData sheetId="5"/>
      <sheetData sheetId="6">
        <row r="8">
          <cell r="F8" t="str">
            <v>(%)</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Bureau">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C743B-2CB4-1F4D-81DD-C174902E66E2}">
  <dimension ref="A1:T642"/>
  <sheetViews>
    <sheetView tabSelected="1" zoomScale="130" zoomScaleNormal="130" workbookViewId="0">
      <selection activeCell="B1" sqref="B1"/>
    </sheetView>
  </sheetViews>
  <sheetFormatPr baseColWidth="10" defaultColWidth="10.6640625" defaultRowHeight="13" x14ac:dyDescent="0.15"/>
  <cols>
    <col min="1" max="1" width="10.6640625" style="1"/>
    <col min="2" max="2" width="5.33203125" style="1" customWidth="1"/>
    <col min="3" max="3" width="3.6640625" style="1" customWidth="1"/>
    <col min="4" max="4" width="69" style="1" bestFit="1" customWidth="1"/>
    <col min="5" max="5" width="52.1640625" style="1" bestFit="1" customWidth="1"/>
    <col min="6" max="6" width="21.6640625" style="1" bestFit="1" customWidth="1"/>
    <col min="7" max="7" width="30.1640625" style="1" bestFit="1" customWidth="1"/>
    <col min="8" max="8" width="47.5" style="1" bestFit="1" customWidth="1"/>
    <col min="9" max="9" width="9.83203125" style="1" bestFit="1" customWidth="1"/>
    <col min="10" max="10" width="7.6640625" style="1" customWidth="1"/>
    <col min="11" max="11" width="2.5" style="1" customWidth="1"/>
    <col min="12" max="12" width="23.5" style="1" customWidth="1"/>
    <col min="13" max="13" width="15.33203125" style="1" customWidth="1"/>
    <col min="14" max="14" width="19.1640625" style="1" customWidth="1"/>
    <col min="15" max="15" width="9.6640625" style="1" customWidth="1"/>
    <col min="16" max="16" width="7" style="1" customWidth="1"/>
    <col min="17" max="18" width="1.6640625" style="1" customWidth="1"/>
    <col min="19" max="19" width="4.6640625" style="1" customWidth="1"/>
    <col min="20" max="16384" width="10.6640625" style="1"/>
  </cols>
  <sheetData>
    <row r="1" spans="1:14" ht="13" customHeight="1" x14ac:dyDescent="0.15">
      <c r="A1" s="121" t="s">
        <v>0</v>
      </c>
    </row>
    <row r="2" spans="1:14" ht="22" customHeight="1" x14ac:dyDescent="0.25">
      <c r="A2" s="122"/>
      <c r="D2" s="2" t="s">
        <v>49</v>
      </c>
      <c r="F2" s="3"/>
    </row>
    <row r="3" spans="1:14" ht="23" thickBot="1" x14ac:dyDescent="0.3">
      <c r="A3" s="122"/>
      <c r="D3" s="4"/>
    </row>
    <row r="4" spans="1:14" ht="23" customHeight="1" thickTop="1" x14ac:dyDescent="0.25">
      <c r="A4" s="122"/>
      <c r="D4" s="4"/>
      <c r="E4" s="108" t="s">
        <v>1</v>
      </c>
      <c r="F4" s="108" t="s">
        <v>2</v>
      </c>
      <c r="G4" s="108" t="s">
        <v>3</v>
      </c>
      <c r="H4" s="108" t="s">
        <v>4</v>
      </c>
      <c r="I4" s="5"/>
      <c r="L4" s="113" t="s">
        <v>5</v>
      </c>
      <c r="M4" s="113" t="s">
        <v>6</v>
      </c>
      <c r="N4"/>
    </row>
    <row r="5" spans="1:14" ht="22" x14ac:dyDescent="0.25">
      <c r="A5" s="122"/>
      <c r="D5" s="4"/>
      <c r="E5" s="109"/>
      <c r="F5" s="111"/>
      <c r="G5" s="111"/>
      <c r="H5" s="111"/>
      <c r="I5" s="6"/>
      <c r="L5" s="114"/>
      <c r="M5" s="116"/>
      <c r="N5"/>
    </row>
    <row r="6" spans="1:14" ht="17" customHeight="1" thickBot="1" x14ac:dyDescent="0.25">
      <c r="A6" s="122"/>
      <c r="E6" s="110"/>
      <c r="F6" s="112"/>
      <c r="G6" s="112"/>
      <c r="H6" s="112"/>
      <c r="I6" s="6"/>
      <c r="L6" s="115"/>
      <c r="M6" s="117"/>
      <c r="N6"/>
    </row>
    <row r="7" spans="1:14" ht="18" thickTop="1" thickBot="1" x14ac:dyDescent="0.25">
      <c r="A7" s="122"/>
      <c r="B7" s="1" t="s">
        <v>7</v>
      </c>
      <c r="E7" s="3"/>
      <c r="F7" s="3"/>
      <c r="G7" s="7"/>
      <c r="L7" s="8"/>
      <c r="N7"/>
    </row>
    <row r="8" spans="1:14" ht="19" thickTop="1" x14ac:dyDescent="0.3">
      <c r="A8" s="122"/>
      <c r="B8" s="9"/>
      <c r="C8" s="9"/>
      <c r="D8" s="10" t="s">
        <v>8</v>
      </c>
      <c r="E8" s="11"/>
      <c r="F8" s="11"/>
      <c r="G8" s="12"/>
      <c r="H8" s="9"/>
      <c r="I8" s="9"/>
      <c r="J8" s="9"/>
      <c r="K8" s="9"/>
      <c r="L8" s="13"/>
      <c r="M8" s="14"/>
      <c r="N8"/>
    </row>
    <row r="9" spans="1:14" ht="18" x14ac:dyDescent="0.3">
      <c r="A9" s="122"/>
      <c r="B9" s="9">
        <v>1</v>
      </c>
      <c r="C9" s="9">
        <v>1</v>
      </c>
      <c r="D9" s="9" t="s">
        <v>9</v>
      </c>
      <c r="E9" s="93">
        <v>1.21</v>
      </c>
      <c r="F9" s="16">
        <v>3.3</v>
      </c>
      <c r="G9" s="17">
        <f t="shared" ref="G9:G21" si="0">E9/F9</f>
        <v>0.3666666666666667</v>
      </c>
      <c r="H9" s="18">
        <f t="shared" ref="H9:H21" si="1">F9-E9</f>
        <v>2.09</v>
      </c>
      <c r="I9" s="11">
        <f>F9</f>
        <v>3.3</v>
      </c>
      <c r="J9" s="106">
        <f>3/12</f>
        <v>0.25</v>
      </c>
      <c r="K9" s="19"/>
      <c r="L9" s="20"/>
      <c r="M9" s="21"/>
      <c r="N9"/>
    </row>
    <row r="10" spans="1:14" ht="18" x14ac:dyDescent="0.3">
      <c r="A10" s="122"/>
      <c r="B10" s="9">
        <v>2</v>
      </c>
      <c r="C10" s="9">
        <v>2</v>
      </c>
      <c r="D10" s="9" t="s">
        <v>10</v>
      </c>
      <c r="E10" s="93">
        <v>1.31</v>
      </c>
      <c r="F10" s="16">
        <v>3.8</v>
      </c>
      <c r="G10" s="17">
        <f t="shared" si="0"/>
        <v>0.34473684210526317</v>
      </c>
      <c r="H10" s="18">
        <f t="shared" si="1"/>
        <v>2.4899999999999998</v>
      </c>
      <c r="I10" s="11"/>
      <c r="J10" s="103"/>
      <c r="K10" s="22"/>
      <c r="L10" s="23"/>
      <c r="M10" s="21"/>
      <c r="N10"/>
    </row>
    <row r="11" spans="1:14" ht="19" thickBot="1" x14ac:dyDescent="0.35">
      <c r="A11" s="122"/>
      <c r="B11" s="24">
        <v>3</v>
      </c>
      <c r="C11" s="24">
        <v>3</v>
      </c>
      <c r="D11" s="24" t="s">
        <v>11</v>
      </c>
      <c r="E11" s="94">
        <v>1.35</v>
      </c>
      <c r="F11" s="25">
        <v>4</v>
      </c>
      <c r="G11" s="26">
        <f t="shared" si="0"/>
        <v>0.33750000000000002</v>
      </c>
      <c r="H11" s="27">
        <f t="shared" si="1"/>
        <v>2.65</v>
      </c>
      <c r="I11" s="28">
        <f>+I9+1.1</f>
        <v>4.4000000000000004</v>
      </c>
      <c r="J11" s="107"/>
      <c r="K11" s="22"/>
      <c r="L11" s="23"/>
      <c r="M11" s="21"/>
      <c r="N11"/>
    </row>
    <row r="12" spans="1:14" ht="18" x14ac:dyDescent="0.3">
      <c r="A12" s="122"/>
      <c r="B12" s="9">
        <v>4</v>
      </c>
      <c r="C12" s="9">
        <v>4</v>
      </c>
      <c r="D12" s="9" t="s">
        <v>12</v>
      </c>
      <c r="E12" s="93">
        <v>1.4</v>
      </c>
      <c r="F12" s="16">
        <v>4.5</v>
      </c>
      <c r="G12" s="17">
        <f t="shared" si="0"/>
        <v>0.31111111111111112</v>
      </c>
      <c r="H12" s="18">
        <f t="shared" si="1"/>
        <v>3.1</v>
      </c>
      <c r="I12" s="11">
        <f>+I11+0.01</f>
        <v>4.41</v>
      </c>
      <c r="J12" s="102">
        <f>7/12</f>
        <v>0.58333333333333337</v>
      </c>
      <c r="K12" s="19"/>
      <c r="L12" s="23"/>
      <c r="M12" s="21"/>
      <c r="N12"/>
    </row>
    <row r="13" spans="1:14" ht="18" x14ac:dyDescent="0.3">
      <c r="A13" s="122"/>
      <c r="B13" s="9">
        <v>5</v>
      </c>
      <c r="C13" s="9">
        <v>5</v>
      </c>
      <c r="D13" s="9" t="s">
        <v>13</v>
      </c>
      <c r="E13" s="93">
        <v>1.24</v>
      </c>
      <c r="F13" s="16">
        <v>4.5999999999999996</v>
      </c>
      <c r="G13" s="17">
        <f t="shared" si="0"/>
        <v>0.26956521739130435</v>
      </c>
      <c r="H13" s="18">
        <f t="shared" si="1"/>
        <v>3.3599999999999994</v>
      </c>
      <c r="I13" s="11"/>
      <c r="J13" s="103"/>
      <c r="K13" s="22"/>
      <c r="L13" s="23"/>
      <c r="M13" s="21"/>
      <c r="N13"/>
    </row>
    <row r="14" spans="1:14" ht="18" x14ac:dyDescent="0.3">
      <c r="A14" s="122"/>
      <c r="B14" s="9">
        <v>6</v>
      </c>
      <c r="C14" s="9">
        <v>6</v>
      </c>
      <c r="D14" s="9" t="s">
        <v>14</v>
      </c>
      <c r="E14" s="93">
        <v>1.39</v>
      </c>
      <c r="F14" s="16">
        <v>4.7</v>
      </c>
      <c r="G14" s="17">
        <f t="shared" si="0"/>
        <v>0.29574468085106381</v>
      </c>
      <c r="H14" s="18">
        <f t="shared" si="1"/>
        <v>3.3100000000000005</v>
      </c>
      <c r="I14" s="11"/>
      <c r="J14" s="103"/>
      <c r="K14" s="22"/>
      <c r="L14" s="23"/>
      <c r="M14" s="21"/>
      <c r="N14"/>
    </row>
    <row r="15" spans="1:14" ht="18" x14ac:dyDescent="0.3">
      <c r="A15" s="122"/>
      <c r="B15" s="9">
        <v>7</v>
      </c>
      <c r="C15" s="9">
        <v>7</v>
      </c>
      <c r="D15" s="9" t="s">
        <v>15</v>
      </c>
      <c r="E15" s="93">
        <v>1.51</v>
      </c>
      <c r="F15" s="16">
        <v>4.8</v>
      </c>
      <c r="G15" s="17">
        <f t="shared" si="0"/>
        <v>0.31458333333333333</v>
      </c>
      <c r="H15" s="18">
        <f t="shared" si="1"/>
        <v>3.29</v>
      </c>
      <c r="I15" s="11"/>
      <c r="J15" s="103"/>
      <c r="K15" s="22"/>
      <c r="L15" s="23"/>
      <c r="M15" s="21"/>
      <c r="N15"/>
    </row>
    <row r="16" spans="1:14" ht="18" x14ac:dyDescent="0.3">
      <c r="A16" s="122"/>
      <c r="B16" s="9">
        <v>8</v>
      </c>
      <c r="C16" s="9">
        <v>8</v>
      </c>
      <c r="D16" s="9" t="s">
        <v>16</v>
      </c>
      <c r="E16" s="93">
        <v>1.53</v>
      </c>
      <c r="F16" s="16">
        <v>4.9000000000000004</v>
      </c>
      <c r="G16" s="17">
        <f t="shared" si="0"/>
        <v>0.31224489795918364</v>
      </c>
      <c r="H16" s="18">
        <f t="shared" si="1"/>
        <v>3.37</v>
      </c>
      <c r="I16" s="11"/>
      <c r="J16" s="103"/>
      <c r="K16" s="22"/>
      <c r="L16" s="23"/>
      <c r="M16" s="21"/>
      <c r="N16"/>
    </row>
    <row r="17" spans="1:14" ht="18" x14ac:dyDescent="0.3">
      <c r="A17" s="122"/>
      <c r="B17" s="9">
        <v>9</v>
      </c>
      <c r="C17" s="9">
        <v>9</v>
      </c>
      <c r="D17" s="9" t="s">
        <v>17</v>
      </c>
      <c r="E17" s="93">
        <v>1.55</v>
      </c>
      <c r="F17" s="16">
        <v>5</v>
      </c>
      <c r="G17" s="17">
        <f t="shared" si="0"/>
        <v>0.31</v>
      </c>
      <c r="H17" s="18">
        <f t="shared" si="1"/>
        <v>3.45</v>
      </c>
      <c r="I17" s="11"/>
      <c r="J17" s="103"/>
      <c r="K17" s="22"/>
      <c r="L17" s="23"/>
      <c r="M17" s="21"/>
      <c r="N17"/>
    </row>
    <row r="18" spans="1:14" ht="19" thickBot="1" x14ac:dyDescent="0.35">
      <c r="A18" s="122"/>
      <c r="B18" s="24">
        <v>10</v>
      </c>
      <c r="C18" s="24">
        <v>10</v>
      </c>
      <c r="D18" s="24" t="s">
        <v>18</v>
      </c>
      <c r="E18" s="94">
        <v>1.59</v>
      </c>
      <c r="F18" s="25">
        <v>5.2</v>
      </c>
      <c r="G18" s="26">
        <f t="shared" si="0"/>
        <v>0.30576923076923079</v>
      </c>
      <c r="H18" s="27">
        <f t="shared" si="1"/>
        <v>3.6100000000000003</v>
      </c>
      <c r="I18" s="28">
        <f>+I11+1.1</f>
        <v>5.5</v>
      </c>
      <c r="J18" s="107"/>
      <c r="K18" s="22"/>
      <c r="L18" s="23"/>
      <c r="M18" s="21"/>
      <c r="N18"/>
    </row>
    <row r="19" spans="1:14" ht="18" x14ac:dyDescent="0.3">
      <c r="A19" s="122"/>
      <c r="B19" s="9">
        <v>11</v>
      </c>
      <c r="C19" s="9">
        <v>11</v>
      </c>
      <c r="D19" s="9" t="s">
        <v>19</v>
      </c>
      <c r="E19" s="93">
        <v>1.83</v>
      </c>
      <c r="F19" s="16">
        <v>6.4</v>
      </c>
      <c r="G19" s="17">
        <f t="shared" si="0"/>
        <v>0.28593750000000001</v>
      </c>
      <c r="H19" s="18">
        <f t="shared" si="1"/>
        <v>4.57</v>
      </c>
      <c r="I19" s="11">
        <f>+I18+0.01</f>
        <v>5.51</v>
      </c>
      <c r="J19" s="102">
        <f>2/12</f>
        <v>0.16666666666666666</v>
      </c>
      <c r="K19" s="19"/>
      <c r="L19" s="23"/>
      <c r="M19" s="21"/>
      <c r="N19"/>
    </row>
    <row r="20" spans="1:14" ht="18" x14ac:dyDescent="0.3">
      <c r="A20" s="122"/>
      <c r="B20" s="9">
        <v>12</v>
      </c>
      <c r="C20" s="9">
        <v>12</v>
      </c>
      <c r="D20" s="9" t="s">
        <v>20</v>
      </c>
      <c r="E20" s="93">
        <v>1.87</v>
      </c>
      <c r="F20" s="16">
        <v>6.6</v>
      </c>
      <c r="G20" s="17">
        <f t="shared" si="0"/>
        <v>0.28333333333333338</v>
      </c>
      <c r="H20" s="18">
        <f t="shared" si="1"/>
        <v>4.7299999999999995</v>
      </c>
      <c r="I20" s="11">
        <f>F20</f>
        <v>6.6</v>
      </c>
      <c r="J20" s="103"/>
      <c r="K20" s="22"/>
      <c r="L20" s="23"/>
      <c r="M20" s="21"/>
      <c r="N20"/>
    </row>
    <row r="21" spans="1:14" ht="19" x14ac:dyDescent="0.35">
      <c r="A21" s="122"/>
      <c r="B21" s="9"/>
      <c r="C21" s="9"/>
      <c r="D21" s="10" t="s">
        <v>21</v>
      </c>
      <c r="E21" s="29">
        <f>SUM(E9:E20)/C20</f>
        <v>1.4816666666666667</v>
      </c>
      <c r="F21" s="30">
        <f>SUM(F9:F20)/C20</f>
        <v>4.8166666666666673</v>
      </c>
      <c r="G21" s="31">
        <f t="shared" si="0"/>
        <v>0.30761245674740478</v>
      </c>
      <c r="H21" s="32">
        <f t="shared" si="1"/>
        <v>3.3350000000000009</v>
      </c>
      <c r="I21" s="33"/>
      <c r="J21" s="9"/>
      <c r="K21" s="9"/>
      <c r="L21" s="91">
        <v>1</v>
      </c>
      <c r="M21" s="95">
        <v>196</v>
      </c>
      <c r="N21"/>
    </row>
    <row r="22" spans="1:14" ht="18" x14ac:dyDescent="0.3">
      <c r="A22" s="122"/>
      <c r="B22" s="9" t="s">
        <v>7</v>
      </c>
      <c r="C22" s="9"/>
      <c r="D22" s="9"/>
      <c r="E22" s="15"/>
      <c r="F22" s="15"/>
      <c r="G22" s="17"/>
      <c r="H22" s="35"/>
      <c r="I22" s="11"/>
      <c r="J22" s="9"/>
      <c r="K22" s="9"/>
      <c r="L22" s="23"/>
      <c r="M22" s="21"/>
      <c r="N22"/>
    </row>
    <row r="23" spans="1:14" ht="18" x14ac:dyDescent="0.3">
      <c r="A23" s="122"/>
      <c r="B23" s="9"/>
      <c r="C23" s="9"/>
      <c r="D23" s="10" t="s">
        <v>22</v>
      </c>
      <c r="E23" s="15"/>
      <c r="F23" s="15"/>
      <c r="G23" s="17"/>
      <c r="H23" s="35"/>
      <c r="I23" s="11"/>
      <c r="J23" s="9"/>
      <c r="K23" s="9"/>
      <c r="L23" s="23"/>
      <c r="M23" s="21"/>
      <c r="N23"/>
    </row>
    <row r="24" spans="1:14" ht="18" x14ac:dyDescent="0.3">
      <c r="A24" s="122"/>
      <c r="B24" s="9">
        <v>13</v>
      </c>
      <c r="C24" s="9">
        <v>1</v>
      </c>
      <c r="D24" s="9" t="s">
        <v>23</v>
      </c>
      <c r="E24" s="93">
        <f>1.14*2</f>
        <v>2.2799999999999998</v>
      </c>
      <c r="F24" s="16">
        <f>3.3*2</f>
        <v>6.6</v>
      </c>
      <c r="G24" s="17">
        <f>E24/F24</f>
        <v>0.34545454545454546</v>
      </c>
      <c r="H24" s="18">
        <f>F24-E24</f>
        <v>4.32</v>
      </c>
      <c r="I24" s="11">
        <f>F24</f>
        <v>6.6</v>
      </c>
      <c r="J24" s="106">
        <f>3/12</f>
        <v>0.25</v>
      </c>
      <c r="K24" s="19"/>
      <c r="L24" s="23"/>
      <c r="M24" s="21"/>
      <c r="N24"/>
    </row>
    <row r="25" spans="1:14" ht="18" x14ac:dyDescent="0.3">
      <c r="A25" s="122"/>
      <c r="B25" s="9">
        <v>14</v>
      </c>
      <c r="C25" s="9">
        <v>2</v>
      </c>
      <c r="D25" s="9" t="s">
        <v>24</v>
      </c>
      <c r="E25" s="93">
        <f>1.33*2</f>
        <v>2.66</v>
      </c>
      <c r="F25" s="16">
        <f>3.8*2</f>
        <v>7.6</v>
      </c>
      <c r="G25" s="17">
        <f>E25/F25</f>
        <v>0.35000000000000003</v>
      </c>
      <c r="H25" s="18">
        <f>F25-E25</f>
        <v>4.9399999999999995</v>
      </c>
      <c r="I25" s="11"/>
      <c r="J25" s="103"/>
      <c r="K25" s="22"/>
      <c r="L25" s="23"/>
      <c r="M25" s="21"/>
      <c r="N25"/>
    </row>
    <row r="26" spans="1:14" ht="19" thickBot="1" x14ac:dyDescent="0.35">
      <c r="A26" s="122"/>
      <c r="B26" s="24">
        <v>15</v>
      </c>
      <c r="C26" s="24">
        <v>3</v>
      </c>
      <c r="D26" s="24" t="s">
        <v>25</v>
      </c>
      <c r="E26" s="94">
        <f>1.37*2</f>
        <v>2.74</v>
      </c>
      <c r="F26" s="25">
        <f>4*2</f>
        <v>8</v>
      </c>
      <c r="G26" s="26">
        <f>E26/F26</f>
        <v>0.34250000000000003</v>
      </c>
      <c r="H26" s="27">
        <f>F26-E26</f>
        <v>5.26</v>
      </c>
      <c r="I26" s="28">
        <f>+I24+2.2</f>
        <v>8.8000000000000007</v>
      </c>
      <c r="J26" s="107"/>
      <c r="K26" s="22"/>
      <c r="L26" s="23"/>
      <c r="M26" s="21"/>
      <c r="N26"/>
    </row>
    <row r="27" spans="1:14" ht="18" x14ac:dyDescent="0.3">
      <c r="A27" s="122"/>
      <c r="B27" s="9">
        <v>16</v>
      </c>
      <c r="C27" s="9">
        <v>4</v>
      </c>
      <c r="D27" s="9" t="s">
        <v>26</v>
      </c>
      <c r="E27" s="93">
        <f>1.36*2</f>
        <v>2.72</v>
      </c>
      <c r="F27" s="16">
        <f>4.5*2</f>
        <v>9</v>
      </c>
      <c r="G27" s="17">
        <f t="shared" ref="G27:G34" si="2">E27/F27</f>
        <v>0.30222222222222223</v>
      </c>
      <c r="H27" s="18">
        <f t="shared" ref="H27:H34" si="3">F27-E27</f>
        <v>6.2799999999999994</v>
      </c>
      <c r="I27" s="11">
        <f>+I26+0.01</f>
        <v>8.81</v>
      </c>
      <c r="J27" s="102">
        <f>7/12</f>
        <v>0.58333333333333337</v>
      </c>
      <c r="K27" s="19"/>
      <c r="L27" s="23"/>
      <c r="M27" s="21"/>
      <c r="N27"/>
    </row>
    <row r="28" spans="1:14" ht="18" x14ac:dyDescent="0.3">
      <c r="A28" s="122"/>
      <c r="B28" s="9">
        <v>17</v>
      </c>
      <c r="C28" s="9">
        <v>5</v>
      </c>
      <c r="D28" s="9" t="s">
        <v>27</v>
      </c>
      <c r="E28" s="93">
        <f>1.38*2</f>
        <v>2.76</v>
      </c>
      <c r="F28" s="16">
        <f>4.6*2</f>
        <v>9.1999999999999993</v>
      </c>
      <c r="G28" s="17">
        <f t="shared" si="2"/>
        <v>0.3</v>
      </c>
      <c r="H28" s="18">
        <f t="shared" si="3"/>
        <v>6.4399999999999995</v>
      </c>
      <c r="I28" s="11"/>
      <c r="J28" s="103"/>
      <c r="K28" s="22"/>
      <c r="L28" s="23"/>
      <c r="M28" s="21"/>
      <c r="N28"/>
    </row>
    <row r="29" spans="1:14" ht="18" x14ac:dyDescent="0.3">
      <c r="A29" s="122"/>
      <c r="B29" s="9">
        <v>18</v>
      </c>
      <c r="C29" s="9">
        <v>6</v>
      </c>
      <c r="D29" s="9" t="s">
        <v>28</v>
      </c>
      <c r="E29" s="93">
        <f>1.4*2</f>
        <v>2.8</v>
      </c>
      <c r="F29" s="16">
        <f>4.7*2</f>
        <v>9.4</v>
      </c>
      <c r="G29" s="17">
        <f t="shared" si="2"/>
        <v>0.2978723404255319</v>
      </c>
      <c r="H29" s="18">
        <f t="shared" si="3"/>
        <v>6.6000000000000005</v>
      </c>
      <c r="I29" s="11"/>
      <c r="J29" s="103"/>
      <c r="K29" s="22"/>
      <c r="L29" s="23"/>
      <c r="M29" s="21"/>
      <c r="N29"/>
    </row>
    <row r="30" spans="1:14" ht="18" x14ac:dyDescent="0.3">
      <c r="A30" s="122"/>
      <c r="B30" s="9">
        <v>19</v>
      </c>
      <c r="C30" s="9">
        <v>7</v>
      </c>
      <c r="D30" s="9" t="s">
        <v>29</v>
      </c>
      <c r="E30" s="93">
        <f>1.41*2</f>
        <v>2.82</v>
      </c>
      <c r="F30" s="16">
        <f>4.8*2</f>
        <v>9.6</v>
      </c>
      <c r="G30" s="17">
        <f t="shared" si="2"/>
        <v>0.29375000000000001</v>
      </c>
      <c r="H30" s="18">
        <f t="shared" si="3"/>
        <v>6.7799999999999994</v>
      </c>
      <c r="I30" s="11"/>
      <c r="J30" s="103"/>
      <c r="K30" s="22"/>
      <c r="L30" s="23"/>
      <c r="M30" s="21"/>
      <c r="N30"/>
    </row>
    <row r="31" spans="1:14" ht="18" x14ac:dyDescent="0.3">
      <c r="A31" s="122"/>
      <c r="B31" s="9">
        <v>20</v>
      </c>
      <c r="C31" s="9">
        <v>8</v>
      </c>
      <c r="D31" s="9" t="s">
        <v>30</v>
      </c>
      <c r="E31" s="93">
        <f>1.43*2</f>
        <v>2.86</v>
      </c>
      <c r="F31" s="16">
        <f>4.9*2</f>
        <v>9.8000000000000007</v>
      </c>
      <c r="G31" s="17">
        <f t="shared" si="2"/>
        <v>0.2918367346938775</v>
      </c>
      <c r="H31" s="18">
        <f t="shared" si="3"/>
        <v>6.9400000000000013</v>
      </c>
      <c r="I31" s="11"/>
      <c r="J31" s="103"/>
      <c r="K31" s="22"/>
      <c r="L31" s="23"/>
      <c r="M31" s="21"/>
      <c r="N31"/>
    </row>
    <row r="32" spans="1:14" ht="18" x14ac:dyDescent="0.3">
      <c r="A32" s="122"/>
      <c r="B32" s="9">
        <v>21</v>
      </c>
      <c r="C32" s="9">
        <v>9</v>
      </c>
      <c r="D32" s="9" t="s">
        <v>31</v>
      </c>
      <c r="E32" s="93">
        <f>1.45*2</f>
        <v>2.9</v>
      </c>
      <c r="F32" s="16">
        <f>5*2</f>
        <v>10</v>
      </c>
      <c r="G32" s="17">
        <f t="shared" si="2"/>
        <v>0.28999999999999998</v>
      </c>
      <c r="H32" s="18">
        <f t="shared" si="3"/>
        <v>7.1</v>
      </c>
      <c r="I32" s="11"/>
      <c r="J32" s="103"/>
      <c r="K32" s="22"/>
      <c r="L32" s="23"/>
      <c r="M32" s="21"/>
      <c r="N32"/>
    </row>
    <row r="33" spans="1:20" ht="19" thickBot="1" x14ac:dyDescent="0.35">
      <c r="A33" s="122"/>
      <c r="B33" s="24">
        <v>22</v>
      </c>
      <c r="C33" s="24">
        <v>10</v>
      </c>
      <c r="D33" s="24" t="s">
        <v>32</v>
      </c>
      <c r="E33" s="94">
        <f>1.49*2</f>
        <v>2.98</v>
      </c>
      <c r="F33" s="25">
        <f>5.2*2</f>
        <v>10.4</v>
      </c>
      <c r="G33" s="26">
        <f t="shared" si="2"/>
        <v>0.28653846153846152</v>
      </c>
      <c r="H33" s="27">
        <f t="shared" si="3"/>
        <v>7.42</v>
      </c>
      <c r="I33" s="28">
        <f>+I26+2.2</f>
        <v>11</v>
      </c>
      <c r="J33" s="107"/>
      <c r="K33" s="22"/>
      <c r="L33" s="23"/>
      <c r="M33" s="21"/>
      <c r="N33"/>
    </row>
    <row r="34" spans="1:20" ht="18" x14ac:dyDescent="0.3">
      <c r="A34" s="122"/>
      <c r="B34" s="9">
        <v>23</v>
      </c>
      <c r="C34" s="9">
        <v>11</v>
      </c>
      <c r="D34" s="9" t="s">
        <v>33</v>
      </c>
      <c r="E34" s="93">
        <f>1.59*2</f>
        <v>3.18</v>
      </c>
      <c r="F34" s="16">
        <f>5.8*2</f>
        <v>11.6</v>
      </c>
      <c r="G34" s="17">
        <f t="shared" si="2"/>
        <v>0.27413793103448281</v>
      </c>
      <c r="H34" s="18">
        <f t="shared" si="3"/>
        <v>8.42</v>
      </c>
      <c r="I34" s="11">
        <f>+I33+0.01</f>
        <v>11.01</v>
      </c>
      <c r="J34" s="102">
        <f>2/12</f>
        <v>0.16666666666666666</v>
      </c>
      <c r="K34" s="19"/>
      <c r="L34" s="23"/>
      <c r="M34" s="21"/>
      <c r="N34"/>
    </row>
    <row r="35" spans="1:20" ht="18" x14ac:dyDescent="0.3">
      <c r="A35" s="122"/>
      <c r="B35" s="9">
        <v>24</v>
      </c>
      <c r="C35" s="9">
        <v>12</v>
      </c>
      <c r="D35" s="9" t="s">
        <v>34</v>
      </c>
      <c r="E35" s="93">
        <f>1.74*2</f>
        <v>3.48</v>
      </c>
      <c r="F35" s="16">
        <f>6.6*2</f>
        <v>13.2</v>
      </c>
      <c r="G35" s="17">
        <f>E35/F35</f>
        <v>0.26363636363636367</v>
      </c>
      <c r="H35" s="18">
        <f>F35-E35</f>
        <v>9.7199999999999989</v>
      </c>
      <c r="I35" s="11">
        <f>F35</f>
        <v>13.2</v>
      </c>
      <c r="J35" s="103"/>
      <c r="K35" s="22"/>
      <c r="L35" s="23"/>
      <c r="M35" s="21"/>
      <c r="N35"/>
    </row>
    <row r="36" spans="1:20" ht="19" x14ac:dyDescent="0.35">
      <c r="A36" s="122"/>
      <c r="B36" s="9"/>
      <c r="C36" s="9"/>
      <c r="D36" s="10" t="s">
        <v>35</v>
      </c>
      <c r="E36" s="29">
        <f>SUM(E24:E35)/C35</f>
        <v>2.8483333333333332</v>
      </c>
      <c r="F36" s="29">
        <f>SUM(F24:F35)/C35</f>
        <v>9.5333333333333332</v>
      </c>
      <c r="G36" s="36">
        <f>E36/F36</f>
        <v>0.29877622377622376</v>
      </c>
      <c r="H36" s="32">
        <f>F36-E36</f>
        <v>6.6850000000000005</v>
      </c>
      <c r="I36" s="33"/>
      <c r="J36" s="9"/>
      <c r="K36" s="9"/>
      <c r="L36" s="92">
        <f>'[1]Formule pour le calcul D'!AH10</f>
        <v>1</v>
      </c>
      <c r="M36" s="96">
        <f>M21</f>
        <v>196</v>
      </c>
      <c r="N36"/>
    </row>
    <row r="37" spans="1:20" ht="19" thickBot="1" x14ac:dyDescent="0.35">
      <c r="A37" s="122"/>
      <c r="B37" s="9"/>
      <c r="C37" s="9"/>
      <c r="D37" s="9"/>
      <c r="E37" s="15"/>
      <c r="F37" s="15"/>
      <c r="G37" s="12"/>
      <c r="H37" s="35"/>
      <c r="I37" s="9"/>
      <c r="J37" s="9"/>
      <c r="K37" s="9"/>
      <c r="L37" s="23"/>
      <c r="M37" s="21"/>
      <c r="N37"/>
    </row>
    <row r="38" spans="1:20" ht="21" thickTop="1" thickBot="1" x14ac:dyDescent="0.4">
      <c r="A38" s="122"/>
      <c r="B38" s="9"/>
      <c r="C38" s="37"/>
      <c r="D38" s="38"/>
      <c r="E38" s="39"/>
      <c r="F38" s="39"/>
      <c r="G38" s="40"/>
      <c r="H38" s="41"/>
      <c r="I38" s="42"/>
      <c r="J38" s="9"/>
      <c r="K38" s="9"/>
      <c r="L38" s="23"/>
      <c r="M38" s="21"/>
      <c r="N38"/>
      <c r="P38" s="43"/>
      <c r="Q38" s="43"/>
      <c r="R38" s="43"/>
      <c r="S38" s="43"/>
      <c r="T38" s="43"/>
    </row>
    <row r="39" spans="1:20" ht="20" thickTop="1" thickBot="1" x14ac:dyDescent="0.35">
      <c r="A39" s="122"/>
      <c r="B39" s="9"/>
      <c r="C39" s="44"/>
      <c r="D39" s="10"/>
      <c r="E39" s="45" t="s">
        <v>36</v>
      </c>
      <c r="F39" s="45" t="s">
        <v>37</v>
      </c>
      <c r="G39" s="46" t="s">
        <v>38</v>
      </c>
      <c r="H39" s="47" t="s">
        <v>39</v>
      </c>
      <c r="I39" s="48"/>
      <c r="J39" s="9"/>
      <c r="K39" s="9"/>
      <c r="L39" s="23"/>
      <c r="M39" s="21"/>
      <c r="N39"/>
      <c r="P39" s="43"/>
      <c r="Q39" s="43"/>
      <c r="R39" s="43"/>
      <c r="S39" s="43"/>
      <c r="T39" s="43"/>
    </row>
    <row r="40" spans="1:20" ht="19" thickTop="1" x14ac:dyDescent="0.3">
      <c r="A40" s="122"/>
      <c r="B40" s="9"/>
      <c r="C40" s="44"/>
      <c r="D40" s="49" t="s">
        <v>40</v>
      </c>
      <c r="E40" s="15"/>
      <c r="F40" s="15"/>
      <c r="G40" s="12"/>
      <c r="H40" s="35"/>
      <c r="I40" s="50"/>
      <c r="J40" s="9"/>
      <c r="K40" s="9"/>
      <c r="L40" s="23"/>
      <c r="M40" s="21"/>
      <c r="N40"/>
      <c r="P40" s="43"/>
      <c r="Q40" s="43"/>
      <c r="R40" s="43"/>
      <c r="S40" s="43"/>
      <c r="T40" s="43"/>
    </row>
    <row r="41" spans="1:20" ht="19" x14ac:dyDescent="0.35">
      <c r="A41" s="122"/>
      <c r="B41" s="9"/>
      <c r="C41" s="44"/>
      <c r="D41" s="10" t="s">
        <v>41</v>
      </c>
      <c r="E41" s="30">
        <f>+(E9+E10+E11+E12+E13+E14+E15+E16+E17+E18+E19+E20+E24+E25+E26+E27+E28+E29+E30+E31+E32+E33+E34+E35)/B35</f>
        <v>2.1649999999999996</v>
      </c>
      <c r="F41" s="30">
        <f>+(F9+F10+F11+F12+F13+F14+F15+F16+F17+F18+F19+F20+F24+F25+F26+F27+F28+F29+F30+F31+F32+F33+F34+F35)/B35</f>
        <v>7.1749999999999998</v>
      </c>
      <c r="G41" s="51">
        <f>E41/F41</f>
        <v>0.30174216027874562</v>
      </c>
      <c r="H41" s="52">
        <f>F41-E41</f>
        <v>5.01</v>
      </c>
      <c r="I41" s="53"/>
      <c r="J41" s="9"/>
      <c r="K41" s="9"/>
      <c r="L41" s="23">
        <f>+L21+L36</f>
        <v>2</v>
      </c>
      <c r="M41" s="96">
        <f>M21</f>
        <v>196</v>
      </c>
      <c r="N41"/>
      <c r="P41" s="43"/>
      <c r="Q41" s="43"/>
      <c r="R41" s="43"/>
      <c r="S41" s="43"/>
      <c r="T41" s="43"/>
    </row>
    <row r="42" spans="1:20" ht="18" x14ac:dyDescent="0.3">
      <c r="A42" s="122"/>
      <c r="B42" s="9"/>
      <c r="C42" s="44"/>
      <c r="D42" s="9"/>
      <c r="E42" s="55"/>
      <c r="F42" s="55"/>
      <c r="G42" s="56"/>
      <c r="H42" s="57"/>
      <c r="I42" s="58"/>
      <c r="J42" s="9"/>
      <c r="K42" s="9"/>
      <c r="L42" s="23"/>
      <c r="M42" s="21"/>
      <c r="N42"/>
      <c r="P42" s="43"/>
      <c r="Q42" s="43"/>
      <c r="R42" s="43"/>
      <c r="S42" s="43"/>
      <c r="T42" s="43"/>
    </row>
    <row r="43" spans="1:20" ht="19" thickBot="1" x14ac:dyDescent="0.35">
      <c r="A43" s="122"/>
      <c r="B43" s="9"/>
      <c r="C43" s="59"/>
      <c r="D43" s="60"/>
      <c r="E43" s="61"/>
      <c r="F43" s="61"/>
      <c r="G43" s="62"/>
      <c r="H43" s="63"/>
      <c r="I43" s="64"/>
      <c r="J43" s="9"/>
      <c r="K43" s="9"/>
      <c r="L43" s="65"/>
      <c r="M43" s="66"/>
      <c r="N43"/>
      <c r="P43" s="43"/>
      <c r="Q43" s="43"/>
      <c r="R43" s="43"/>
      <c r="S43" s="43"/>
      <c r="T43" s="43"/>
    </row>
    <row r="44" spans="1:20" ht="19" thickTop="1" x14ac:dyDescent="0.3">
      <c r="A44" s="122"/>
      <c r="B44" s="9"/>
      <c r="C44" s="9"/>
      <c r="D44" s="9"/>
      <c r="E44" s="9"/>
      <c r="F44" s="9" t="s">
        <v>7</v>
      </c>
      <c r="G44" s="9"/>
      <c r="H44" s="9"/>
      <c r="I44" s="9"/>
      <c r="J44" s="9"/>
      <c r="K44" s="9"/>
      <c r="L44" s="8"/>
      <c r="M44" s="67"/>
      <c r="N44"/>
      <c r="P44" s="43"/>
      <c r="Q44" s="43"/>
      <c r="R44" s="43"/>
      <c r="S44" s="43"/>
      <c r="T44" s="43"/>
    </row>
    <row r="45" spans="1:20" ht="23" x14ac:dyDescent="0.3">
      <c r="A45" s="122"/>
      <c r="D45" s="2" t="s">
        <v>50</v>
      </c>
      <c r="F45" s="3"/>
      <c r="L45" s="8"/>
      <c r="M45" s="67"/>
      <c r="N45"/>
      <c r="P45" s="43"/>
      <c r="Q45" s="43"/>
      <c r="R45" s="43"/>
      <c r="S45" s="43"/>
      <c r="T45" s="43"/>
    </row>
    <row r="46" spans="1:20" ht="24" thickBot="1" x14ac:dyDescent="0.35">
      <c r="A46" s="122"/>
      <c r="D46" s="4"/>
      <c r="L46" s="8"/>
      <c r="M46" s="67"/>
      <c r="N46"/>
    </row>
    <row r="47" spans="1:20" ht="23" customHeight="1" thickTop="1" x14ac:dyDescent="0.25">
      <c r="A47" s="122"/>
      <c r="D47" s="4"/>
      <c r="E47" s="108" t="str">
        <f>E4</f>
        <v>Coûts des ressources alimentaires pour chaque produit offert (voir recettes standardisées)</v>
      </c>
      <c r="F47" s="108" t="str">
        <f>F4</f>
        <v>Prix de vente par produit offert</v>
      </c>
      <c r="G47" s="108" t="str">
        <f>G4</f>
        <v xml:space="preserve">« Food &amp; Beverage Cost » </v>
      </c>
      <c r="H47" s="108" t="str">
        <f>+H4</f>
        <v>Marge brute gagnée sur la vente de chaque produit offert</v>
      </c>
      <c r="I47" s="5"/>
      <c r="L47" s="113" t="s">
        <v>5</v>
      </c>
      <c r="M47" s="113" t="s">
        <v>6</v>
      </c>
      <c r="N47"/>
    </row>
    <row r="48" spans="1:20" ht="22" x14ac:dyDescent="0.25">
      <c r="A48" s="122"/>
      <c r="D48" s="4"/>
      <c r="E48" s="109"/>
      <c r="F48" s="111"/>
      <c r="G48" s="111"/>
      <c r="H48" s="111"/>
      <c r="I48" s="6"/>
      <c r="L48" s="114"/>
      <c r="M48" s="116"/>
      <c r="N48"/>
    </row>
    <row r="49" spans="1:14" ht="14" customHeight="1" thickBot="1" x14ac:dyDescent="0.25">
      <c r="A49" s="122"/>
      <c r="E49" s="110"/>
      <c r="F49" s="112"/>
      <c r="G49" s="112"/>
      <c r="H49" s="112"/>
      <c r="I49" s="6"/>
      <c r="L49" s="115"/>
      <c r="M49" s="117"/>
      <c r="N49"/>
    </row>
    <row r="50" spans="1:14" ht="20" thickTop="1" thickBot="1" x14ac:dyDescent="0.35">
      <c r="A50" s="122"/>
      <c r="B50" s="1" t="s">
        <v>7</v>
      </c>
      <c r="E50" s="3"/>
      <c r="F50" s="3"/>
      <c r="G50" s="7"/>
      <c r="L50" s="8"/>
      <c r="M50" s="67"/>
      <c r="N50"/>
    </row>
    <row r="51" spans="1:14" ht="19" thickTop="1" x14ac:dyDescent="0.3">
      <c r="A51" s="122"/>
      <c r="B51" s="9"/>
      <c r="C51" s="9"/>
      <c r="D51" s="10" t="str">
        <f t="shared" ref="D51:F64" si="4">D8</f>
        <v>Les Petite Gâteries</v>
      </c>
      <c r="E51" s="11"/>
      <c r="F51" s="11"/>
      <c r="G51" s="12"/>
      <c r="H51" s="9"/>
      <c r="I51" s="9"/>
      <c r="J51" s="9"/>
      <c r="K51" s="9"/>
      <c r="L51" s="13"/>
      <c r="M51" s="97"/>
      <c r="N51"/>
    </row>
    <row r="52" spans="1:14" ht="18" x14ac:dyDescent="0.3">
      <c r="A52" s="122"/>
      <c r="B52" s="9">
        <f t="shared" ref="B52:C63" si="5">B9</f>
        <v>1</v>
      </c>
      <c r="C52" s="9">
        <f t="shared" si="5"/>
        <v>1</v>
      </c>
      <c r="D52" s="9" t="str">
        <f t="shared" si="4"/>
        <v>Petite Gâterie 1</v>
      </c>
      <c r="E52" s="93">
        <f t="shared" si="4"/>
        <v>1.21</v>
      </c>
      <c r="F52" s="68">
        <f t="shared" si="4"/>
        <v>3.3</v>
      </c>
      <c r="G52" s="17">
        <f t="shared" ref="G52:G64" si="6">E52/F52</f>
        <v>0.3666666666666667</v>
      </c>
      <c r="H52" s="18">
        <f t="shared" ref="H52:H64" si="7">F52-E52</f>
        <v>2.09</v>
      </c>
      <c r="I52" s="11"/>
      <c r="J52" s="9"/>
      <c r="K52" s="9"/>
      <c r="L52" s="20"/>
      <c r="M52" s="54"/>
      <c r="N52"/>
    </row>
    <row r="53" spans="1:14" ht="18" x14ac:dyDescent="0.3">
      <c r="A53" s="122"/>
      <c r="B53" s="9">
        <f t="shared" si="5"/>
        <v>2</v>
      </c>
      <c r="C53" s="9">
        <f t="shared" si="5"/>
        <v>2</v>
      </c>
      <c r="D53" s="9" t="str">
        <f t="shared" si="4"/>
        <v>Petite Gâterie 2</v>
      </c>
      <c r="E53" s="93">
        <f t="shared" si="4"/>
        <v>1.31</v>
      </c>
      <c r="F53" s="16">
        <f t="shared" si="4"/>
        <v>3.8</v>
      </c>
      <c r="G53" s="17">
        <f t="shared" si="6"/>
        <v>0.34473684210526317</v>
      </c>
      <c r="H53" s="18">
        <f t="shared" si="7"/>
        <v>2.4899999999999998</v>
      </c>
      <c r="I53" s="11"/>
      <c r="J53" s="9"/>
      <c r="K53" s="9"/>
      <c r="L53" s="23"/>
      <c r="M53" s="54"/>
      <c r="N53"/>
    </row>
    <row r="54" spans="1:14" ht="18" x14ac:dyDescent="0.3">
      <c r="A54" s="122"/>
      <c r="B54" s="9">
        <f t="shared" si="5"/>
        <v>3</v>
      </c>
      <c r="C54" s="9">
        <f t="shared" si="5"/>
        <v>3</v>
      </c>
      <c r="D54" s="9" t="str">
        <f t="shared" si="4"/>
        <v>Petite Gâterie 3</v>
      </c>
      <c r="E54" s="93">
        <f t="shared" si="4"/>
        <v>1.35</v>
      </c>
      <c r="F54" s="16">
        <f t="shared" si="4"/>
        <v>4</v>
      </c>
      <c r="G54" s="17">
        <f t="shared" si="6"/>
        <v>0.33750000000000002</v>
      </c>
      <c r="H54" s="18">
        <f t="shared" si="7"/>
        <v>2.65</v>
      </c>
      <c r="I54" s="11"/>
      <c r="J54" s="9"/>
      <c r="K54" s="9"/>
      <c r="L54" s="23"/>
      <c r="M54" s="54"/>
      <c r="N54"/>
    </row>
    <row r="55" spans="1:14" ht="18" x14ac:dyDescent="0.3">
      <c r="A55" s="122"/>
      <c r="B55" s="9">
        <f t="shared" si="5"/>
        <v>4</v>
      </c>
      <c r="C55" s="9">
        <f t="shared" si="5"/>
        <v>4</v>
      </c>
      <c r="D55" s="9" t="str">
        <f t="shared" si="4"/>
        <v>Petite Gâterie 4</v>
      </c>
      <c r="E55" s="93">
        <f t="shared" si="4"/>
        <v>1.4</v>
      </c>
      <c r="F55" s="16">
        <f t="shared" si="4"/>
        <v>4.5</v>
      </c>
      <c r="G55" s="17">
        <f t="shared" si="6"/>
        <v>0.31111111111111112</v>
      </c>
      <c r="H55" s="18">
        <f t="shared" si="7"/>
        <v>3.1</v>
      </c>
      <c r="I55" s="11"/>
      <c r="J55" s="9"/>
      <c r="K55" s="9"/>
      <c r="L55" s="23"/>
      <c r="M55" s="54"/>
      <c r="N55"/>
    </row>
    <row r="56" spans="1:14" ht="18" x14ac:dyDescent="0.3">
      <c r="A56" s="122"/>
      <c r="B56" s="9">
        <f t="shared" si="5"/>
        <v>5</v>
      </c>
      <c r="C56" s="9">
        <f t="shared" si="5"/>
        <v>5</v>
      </c>
      <c r="D56" s="9" t="str">
        <f t="shared" si="4"/>
        <v>Petite Gâterie 5</v>
      </c>
      <c r="E56" s="93">
        <f t="shared" si="4"/>
        <v>1.24</v>
      </c>
      <c r="F56" s="16">
        <f t="shared" si="4"/>
        <v>4.5999999999999996</v>
      </c>
      <c r="G56" s="17">
        <f t="shared" si="6"/>
        <v>0.26956521739130435</v>
      </c>
      <c r="H56" s="18">
        <f t="shared" si="7"/>
        <v>3.3599999999999994</v>
      </c>
      <c r="I56" s="11"/>
      <c r="J56" s="9"/>
      <c r="K56" s="9"/>
      <c r="L56" s="23"/>
      <c r="M56" s="54"/>
      <c r="N56"/>
    </row>
    <row r="57" spans="1:14" ht="18" x14ac:dyDescent="0.3">
      <c r="A57" s="122"/>
      <c r="B57" s="9">
        <f t="shared" si="5"/>
        <v>6</v>
      </c>
      <c r="C57" s="9">
        <f t="shared" si="5"/>
        <v>6</v>
      </c>
      <c r="D57" s="9" t="str">
        <f t="shared" si="4"/>
        <v>Petite Gâterie 6</v>
      </c>
      <c r="E57" s="93">
        <f t="shared" si="4"/>
        <v>1.39</v>
      </c>
      <c r="F57" s="16">
        <f t="shared" si="4"/>
        <v>4.7</v>
      </c>
      <c r="G57" s="17">
        <f t="shared" si="6"/>
        <v>0.29574468085106381</v>
      </c>
      <c r="H57" s="18">
        <f t="shared" si="7"/>
        <v>3.3100000000000005</v>
      </c>
      <c r="I57" s="11"/>
      <c r="J57" s="9"/>
      <c r="K57" s="9"/>
      <c r="L57" s="23"/>
      <c r="M57" s="54"/>
      <c r="N57"/>
    </row>
    <row r="58" spans="1:14" ht="18" x14ac:dyDescent="0.3">
      <c r="A58" s="122"/>
      <c r="B58" s="9">
        <f t="shared" si="5"/>
        <v>7</v>
      </c>
      <c r="C58" s="9">
        <f t="shared" si="5"/>
        <v>7</v>
      </c>
      <c r="D58" s="9" t="str">
        <f t="shared" si="4"/>
        <v>Petite Gâterie 7</v>
      </c>
      <c r="E58" s="93">
        <f t="shared" si="4"/>
        <v>1.51</v>
      </c>
      <c r="F58" s="16">
        <f t="shared" si="4"/>
        <v>4.8</v>
      </c>
      <c r="G58" s="17">
        <f t="shared" si="6"/>
        <v>0.31458333333333333</v>
      </c>
      <c r="H58" s="18">
        <f t="shared" si="7"/>
        <v>3.29</v>
      </c>
      <c r="I58" s="11"/>
      <c r="J58" s="9"/>
      <c r="K58" s="9"/>
      <c r="L58" s="23"/>
      <c r="M58" s="54"/>
      <c r="N58"/>
    </row>
    <row r="59" spans="1:14" ht="18" x14ac:dyDescent="0.3">
      <c r="A59" s="122"/>
      <c r="B59" s="9">
        <f t="shared" si="5"/>
        <v>8</v>
      </c>
      <c r="C59" s="9">
        <f t="shared" si="5"/>
        <v>8</v>
      </c>
      <c r="D59" s="9" t="str">
        <f t="shared" si="4"/>
        <v>Petite Gâterie 8</v>
      </c>
      <c r="E59" s="93">
        <f t="shared" si="4"/>
        <v>1.53</v>
      </c>
      <c r="F59" s="16">
        <f t="shared" si="4"/>
        <v>4.9000000000000004</v>
      </c>
      <c r="G59" s="17">
        <f t="shared" si="6"/>
        <v>0.31224489795918364</v>
      </c>
      <c r="H59" s="18">
        <f t="shared" si="7"/>
        <v>3.37</v>
      </c>
      <c r="I59" s="11"/>
      <c r="J59" s="9"/>
      <c r="K59" s="9"/>
      <c r="L59" s="23"/>
      <c r="M59" s="54"/>
      <c r="N59"/>
    </row>
    <row r="60" spans="1:14" ht="18" x14ac:dyDescent="0.3">
      <c r="A60" s="122"/>
      <c r="B60" s="9">
        <f t="shared" si="5"/>
        <v>9</v>
      </c>
      <c r="C60" s="9">
        <f t="shared" si="5"/>
        <v>9</v>
      </c>
      <c r="D60" s="9" t="str">
        <f t="shared" si="4"/>
        <v>Petite Gâterie 9</v>
      </c>
      <c r="E60" s="93">
        <f t="shared" si="4"/>
        <v>1.55</v>
      </c>
      <c r="F60" s="16">
        <f t="shared" si="4"/>
        <v>5</v>
      </c>
      <c r="G60" s="17">
        <f t="shared" si="6"/>
        <v>0.31</v>
      </c>
      <c r="H60" s="18">
        <f t="shared" si="7"/>
        <v>3.45</v>
      </c>
      <c r="I60" s="11"/>
      <c r="J60" s="9"/>
      <c r="K60" s="9"/>
      <c r="L60" s="23"/>
      <c r="M60" s="54"/>
      <c r="N60"/>
    </row>
    <row r="61" spans="1:14" ht="18" x14ac:dyDescent="0.3">
      <c r="A61" s="122"/>
      <c r="B61" s="9">
        <f t="shared" si="5"/>
        <v>10</v>
      </c>
      <c r="C61" s="9">
        <f t="shared" si="5"/>
        <v>10</v>
      </c>
      <c r="D61" s="9" t="str">
        <f t="shared" si="4"/>
        <v>Petite Gâterie 10</v>
      </c>
      <c r="E61" s="93">
        <f t="shared" si="4"/>
        <v>1.59</v>
      </c>
      <c r="F61" s="16">
        <f t="shared" si="4"/>
        <v>5.2</v>
      </c>
      <c r="G61" s="17">
        <f t="shared" si="6"/>
        <v>0.30576923076923079</v>
      </c>
      <c r="H61" s="18">
        <f t="shared" si="7"/>
        <v>3.6100000000000003</v>
      </c>
      <c r="I61" s="11"/>
      <c r="J61" s="9"/>
      <c r="K61" s="9"/>
      <c r="L61" s="23"/>
      <c r="M61" s="54"/>
      <c r="N61"/>
    </row>
    <row r="62" spans="1:14" ht="18" x14ac:dyDescent="0.3">
      <c r="A62" s="122"/>
      <c r="B62" s="9">
        <f t="shared" si="5"/>
        <v>11</v>
      </c>
      <c r="C62" s="9">
        <f t="shared" si="5"/>
        <v>11</v>
      </c>
      <c r="D62" s="9" t="str">
        <f t="shared" si="4"/>
        <v>Petite Gâterie 11</v>
      </c>
      <c r="E62" s="93">
        <f t="shared" si="4"/>
        <v>1.83</v>
      </c>
      <c r="F62" s="16">
        <f t="shared" si="4"/>
        <v>6.4</v>
      </c>
      <c r="G62" s="17">
        <f t="shared" si="6"/>
        <v>0.28593750000000001</v>
      </c>
      <c r="H62" s="18">
        <f t="shared" si="7"/>
        <v>4.57</v>
      </c>
      <c r="I62" s="11"/>
      <c r="J62" s="9"/>
      <c r="K62" s="9"/>
      <c r="L62" s="23"/>
      <c r="M62" s="54"/>
      <c r="N62"/>
    </row>
    <row r="63" spans="1:14" ht="18" x14ac:dyDescent="0.3">
      <c r="A63" s="122"/>
      <c r="B63" s="9">
        <f t="shared" si="5"/>
        <v>12</v>
      </c>
      <c r="C63" s="9">
        <f t="shared" si="5"/>
        <v>12</v>
      </c>
      <c r="D63" s="9" t="str">
        <f t="shared" si="4"/>
        <v>Petite Gâterie 12</v>
      </c>
      <c r="E63" s="93">
        <f t="shared" si="4"/>
        <v>1.87</v>
      </c>
      <c r="F63" s="16">
        <f t="shared" si="4"/>
        <v>6.6</v>
      </c>
      <c r="G63" s="17">
        <f t="shared" si="6"/>
        <v>0.28333333333333338</v>
      </c>
      <c r="H63" s="18">
        <f t="shared" si="7"/>
        <v>4.7299999999999995</v>
      </c>
      <c r="I63" s="11"/>
      <c r="J63" s="9"/>
      <c r="K63" s="9"/>
      <c r="L63" s="23"/>
      <c r="M63" s="54"/>
      <c r="N63"/>
    </row>
    <row r="64" spans="1:14" ht="19" x14ac:dyDescent="0.35">
      <c r="A64" s="122"/>
      <c r="B64" s="9"/>
      <c r="C64" s="9"/>
      <c r="D64" s="10" t="str">
        <f t="shared" si="4"/>
        <v>CmO—PmO—Food Cost—BmO</v>
      </c>
      <c r="E64" s="29">
        <f>SUM(E52:E63)/C63</f>
        <v>1.4816666666666667</v>
      </c>
      <c r="F64" s="29">
        <f>SUM(F52:F63)/C63</f>
        <v>4.8166666666666673</v>
      </c>
      <c r="G64" s="31">
        <f t="shared" si="6"/>
        <v>0.30761245674740478</v>
      </c>
      <c r="H64" s="32">
        <f t="shared" si="7"/>
        <v>3.3350000000000009</v>
      </c>
      <c r="I64" s="33"/>
      <c r="J64" s="9"/>
      <c r="K64" s="9"/>
      <c r="L64" s="91">
        <v>1</v>
      </c>
      <c r="M64" s="54">
        <f>$M$21</f>
        <v>196</v>
      </c>
      <c r="N64"/>
    </row>
    <row r="65" spans="1:14" ht="18" x14ac:dyDescent="0.3">
      <c r="A65" s="122"/>
      <c r="B65" s="9" t="s">
        <v>7</v>
      </c>
      <c r="C65" s="9"/>
      <c r="D65" s="9"/>
      <c r="E65" s="15"/>
      <c r="F65" s="15"/>
      <c r="G65" s="17"/>
      <c r="H65" s="35"/>
      <c r="I65" s="9"/>
      <c r="J65" s="9"/>
      <c r="K65" s="9"/>
      <c r="L65" s="23"/>
      <c r="M65" s="54"/>
      <c r="N65"/>
    </row>
    <row r="66" spans="1:14" ht="18" x14ac:dyDescent="0.3">
      <c r="A66" s="122"/>
      <c r="B66" s="9"/>
      <c r="C66" s="9"/>
      <c r="D66" s="10" t="str">
        <f t="shared" ref="D66:F79" si="8">D23</f>
        <v>Les Boissons  Gâteries</v>
      </c>
      <c r="E66" s="15"/>
      <c r="F66" s="15"/>
      <c r="G66" s="17"/>
      <c r="H66" s="35"/>
      <c r="I66" s="9"/>
      <c r="J66" s="9"/>
      <c r="K66" s="9"/>
      <c r="L66" s="23"/>
      <c r="M66" s="54"/>
      <c r="N66"/>
    </row>
    <row r="67" spans="1:14" ht="18" x14ac:dyDescent="0.3">
      <c r="A67" s="122"/>
      <c r="B67" s="9">
        <f t="shared" ref="B67:C78" si="9">B24</f>
        <v>13</v>
      </c>
      <c r="C67" s="9">
        <f t="shared" si="9"/>
        <v>1</v>
      </c>
      <c r="D67" s="9" t="str">
        <f t="shared" si="8"/>
        <v>Boisson spécial numéro 1</v>
      </c>
      <c r="E67" s="93">
        <f t="shared" si="8"/>
        <v>2.2799999999999998</v>
      </c>
      <c r="F67" s="68">
        <f t="shared" si="8"/>
        <v>6.6</v>
      </c>
      <c r="G67" s="17">
        <f>E67/F67</f>
        <v>0.34545454545454546</v>
      </c>
      <c r="H67" s="18">
        <f>F67-E67</f>
        <v>4.32</v>
      </c>
      <c r="I67" s="11"/>
      <c r="J67" s="9"/>
      <c r="K67" s="9"/>
      <c r="L67" s="23"/>
      <c r="M67" s="54"/>
      <c r="N67"/>
    </row>
    <row r="68" spans="1:14" ht="18" x14ac:dyDescent="0.3">
      <c r="A68" s="122"/>
      <c r="B68" s="9">
        <f t="shared" si="9"/>
        <v>14</v>
      </c>
      <c r="C68" s="9">
        <f t="shared" si="9"/>
        <v>2</v>
      </c>
      <c r="D68" s="9" t="str">
        <f t="shared" si="8"/>
        <v>Boisson spécial numéro 2</v>
      </c>
      <c r="E68" s="93">
        <f t="shared" si="8"/>
        <v>2.66</v>
      </c>
      <c r="F68" s="16">
        <f t="shared" si="8"/>
        <v>7.6</v>
      </c>
      <c r="G68" s="17">
        <f>E68/F68</f>
        <v>0.35000000000000003</v>
      </c>
      <c r="H68" s="18">
        <f>F68-E68</f>
        <v>4.9399999999999995</v>
      </c>
      <c r="I68" s="11"/>
      <c r="J68" s="9"/>
      <c r="K68" s="9"/>
      <c r="L68" s="23"/>
      <c r="M68" s="54"/>
      <c r="N68"/>
    </row>
    <row r="69" spans="1:14" ht="18" x14ac:dyDescent="0.3">
      <c r="A69" s="122"/>
      <c r="B69" s="9">
        <f t="shared" si="9"/>
        <v>15</v>
      </c>
      <c r="C69" s="9">
        <f t="shared" si="9"/>
        <v>3</v>
      </c>
      <c r="D69" s="9" t="str">
        <f t="shared" si="8"/>
        <v>Boisson spécial numéro 3</v>
      </c>
      <c r="E69" s="93">
        <f t="shared" si="8"/>
        <v>2.74</v>
      </c>
      <c r="F69" s="16">
        <f t="shared" si="8"/>
        <v>8</v>
      </c>
      <c r="G69" s="17">
        <f>E69/F69</f>
        <v>0.34250000000000003</v>
      </c>
      <c r="H69" s="18">
        <f>F69-E69</f>
        <v>5.26</v>
      </c>
      <c r="I69" s="11"/>
      <c r="J69" s="9"/>
      <c r="K69" s="9"/>
      <c r="L69" s="23"/>
      <c r="M69" s="54"/>
      <c r="N69"/>
    </row>
    <row r="70" spans="1:14" ht="18" x14ac:dyDescent="0.3">
      <c r="A70" s="122"/>
      <c r="B70" s="9">
        <f t="shared" si="9"/>
        <v>16</v>
      </c>
      <c r="C70" s="9">
        <f t="shared" si="9"/>
        <v>4</v>
      </c>
      <c r="D70" s="9" t="str">
        <f t="shared" si="8"/>
        <v>Boisson spécial numéro 4</v>
      </c>
      <c r="E70" s="93">
        <f t="shared" si="8"/>
        <v>2.72</v>
      </c>
      <c r="F70" s="16">
        <f t="shared" si="8"/>
        <v>9</v>
      </c>
      <c r="G70" s="17">
        <f t="shared" ref="G70:G77" si="10">E70/F70</f>
        <v>0.30222222222222223</v>
      </c>
      <c r="H70" s="18">
        <f t="shared" ref="H70:H77" si="11">F70-E70</f>
        <v>6.2799999999999994</v>
      </c>
      <c r="I70" s="11"/>
      <c r="J70" s="9"/>
      <c r="K70" s="9"/>
      <c r="L70" s="23"/>
      <c r="M70" s="54"/>
      <c r="N70"/>
    </row>
    <row r="71" spans="1:14" ht="18" x14ac:dyDescent="0.3">
      <c r="A71" s="122"/>
      <c r="B71" s="9">
        <f t="shared" si="9"/>
        <v>17</v>
      </c>
      <c r="C71" s="9">
        <f t="shared" si="9"/>
        <v>5</v>
      </c>
      <c r="D71" s="9" t="str">
        <f t="shared" si="8"/>
        <v>Boisson spécial numéro 5</v>
      </c>
      <c r="E71" s="93">
        <f t="shared" si="8"/>
        <v>2.76</v>
      </c>
      <c r="F71" s="16">
        <f t="shared" si="8"/>
        <v>9.1999999999999993</v>
      </c>
      <c r="G71" s="17">
        <f t="shared" si="10"/>
        <v>0.3</v>
      </c>
      <c r="H71" s="18">
        <f t="shared" si="11"/>
        <v>6.4399999999999995</v>
      </c>
      <c r="I71" s="11"/>
      <c r="J71" s="9"/>
      <c r="K71" s="9"/>
      <c r="L71" s="23"/>
      <c r="M71" s="54"/>
      <c r="N71"/>
    </row>
    <row r="72" spans="1:14" ht="18" x14ac:dyDescent="0.3">
      <c r="A72" s="122"/>
      <c r="B72" s="9">
        <f t="shared" si="9"/>
        <v>18</v>
      </c>
      <c r="C72" s="9">
        <f t="shared" si="9"/>
        <v>6</v>
      </c>
      <c r="D72" s="9" t="str">
        <f t="shared" si="8"/>
        <v>Boisson spécial numéro 6</v>
      </c>
      <c r="E72" s="93">
        <f t="shared" si="8"/>
        <v>2.8</v>
      </c>
      <c r="F72" s="16">
        <f t="shared" si="8"/>
        <v>9.4</v>
      </c>
      <c r="G72" s="17">
        <f t="shared" si="10"/>
        <v>0.2978723404255319</v>
      </c>
      <c r="H72" s="18">
        <f t="shared" si="11"/>
        <v>6.6000000000000005</v>
      </c>
      <c r="I72" s="11"/>
      <c r="J72" s="9"/>
      <c r="K72" s="9"/>
      <c r="L72" s="23"/>
      <c r="M72" s="54"/>
      <c r="N72"/>
    </row>
    <row r="73" spans="1:14" ht="18" x14ac:dyDescent="0.3">
      <c r="A73" s="122"/>
      <c r="B73" s="9">
        <f t="shared" si="9"/>
        <v>19</v>
      </c>
      <c r="C73" s="9">
        <f t="shared" si="9"/>
        <v>7</v>
      </c>
      <c r="D73" s="9" t="str">
        <f t="shared" si="8"/>
        <v>Boisson spécial numéro 7</v>
      </c>
      <c r="E73" s="93">
        <f t="shared" si="8"/>
        <v>2.82</v>
      </c>
      <c r="F73" s="16">
        <f t="shared" si="8"/>
        <v>9.6</v>
      </c>
      <c r="G73" s="17">
        <f t="shared" si="10"/>
        <v>0.29375000000000001</v>
      </c>
      <c r="H73" s="18">
        <f t="shared" si="11"/>
        <v>6.7799999999999994</v>
      </c>
      <c r="I73" s="11"/>
      <c r="J73" s="9"/>
      <c r="K73" s="9"/>
      <c r="L73" s="23"/>
      <c r="M73" s="54"/>
      <c r="N73"/>
    </row>
    <row r="74" spans="1:14" ht="18" x14ac:dyDescent="0.3">
      <c r="A74" s="122"/>
      <c r="B74" s="9">
        <f t="shared" si="9"/>
        <v>20</v>
      </c>
      <c r="C74" s="9">
        <f t="shared" si="9"/>
        <v>8</v>
      </c>
      <c r="D74" s="9" t="str">
        <f t="shared" si="8"/>
        <v>Boisson spécial numéro 8</v>
      </c>
      <c r="E74" s="93">
        <f t="shared" si="8"/>
        <v>2.86</v>
      </c>
      <c r="F74" s="16">
        <f t="shared" si="8"/>
        <v>9.8000000000000007</v>
      </c>
      <c r="G74" s="17">
        <f t="shared" si="10"/>
        <v>0.2918367346938775</v>
      </c>
      <c r="H74" s="18">
        <f t="shared" si="11"/>
        <v>6.9400000000000013</v>
      </c>
      <c r="I74" s="11"/>
      <c r="J74" s="9"/>
      <c r="K74" s="9"/>
      <c r="L74" s="23"/>
      <c r="M74" s="54"/>
      <c r="N74"/>
    </row>
    <row r="75" spans="1:14" ht="18" x14ac:dyDescent="0.3">
      <c r="A75" s="122"/>
      <c r="B75" s="9">
        <f t="shared" si="9"/>
        <v>21</v>
      </c>
      <c r="C75" s="9">
        <f t="shared" si="9"/>
        <v>9</v>
      </c>
      <c r="D75" s="9" t="str">
        <f t="shared" si="8"/>
        <v>Boisson spécial numéro 9</v>
      </c>
      <c r="E75" s="93">
        <f t="shared" si="8"/>
        <v>2.9</v>
      </c>
      <c r="F75" s="16">
        <f t="shared" si="8"/>
        <v>10</v>
      </c>
      <c r="G75" s="17">
        <f t="shared" si="10"/>
        <v>0.28999999999999998</v>
      </c>
      <c r="H75" s="18">
        <f t="shared" si="11"/>
        <v>7.1</v>
      </c>
      <c r="I75" s="11"/>
      <c r="J75" s="9"/>
      <c r="K75" s="9"/>
      <c r="L75" s="23"/>
      <c r="M75" s="54"/>
      <c r="N75"/>
    </row>
    <row r="76" spans="1:14" ht="18" x14ac:dyDescent="0.3">
      <c r="A76" s="122"/>
      <c r="B76" s="9">
        <f t="shared" si="9"/>
        <v>22</v>
      </c>
      <c r="C76" s="9">
        <f t="shared" si="9"/>
        <v>10</v>
      </c>
      <c r="D76" s="9" t="str">
        <f t="shared" si="8"/>
        <v>Boisson spécial numéro 10</v>
      </c>
      <c r="E76" s="93">
        <f t="shared" si="8"/>
        <v>2.98</v>
      </c>
      <c r="F76" s="16">
        <f t="shared" si="8"/>
        <v>10.4</v>
      </c>
      <c r="G76" s="17">
        <f t="shared" si="10"/>
        <v>0.28653846153846152</v>
      </c>
      <c r="H76" s="18">
        <f t="shared" si="11"/>
        <v>7.42</v>
      </c>
      <c r="I76" s="11"/>
      <c r="J76" s="9"/>
      <c r="K76" s="9"/>
      <c r="L76" s="23"/>
      <c r="M76" s="54"/>
      <c r="N76"/>
    </row>
    <row r="77" spans="1:14" ht="18" x14ac:dyDescent="0.3">
      <c r="A77" s="122"/>
      <c r="B77" s="9">
        <f t="shared" si="9"/>
        <v>23</v>
      </c>
      <c r="C77" s="9">
        <f t="shared" si="9"/>
        <v>11</v>
      </c>
      <c r="D77" s="9" t="str">
        <f t="shared" si="8"/>
        <v>Boisson spécial numéro 11</v>
      </c>
      <c r="E77" s="93">
        <f t="shared" si="8"/>
        <v>3.18</v>
      </c>
      <c r="F77" s="16">
        <f t="shared" si="8"/>
        <v>11.6</v>
      </c>
      <c r="G77" s="17">
        <f t="shared" si="10"/>
        <v>0.27413793103448281</v>
      </c>
      <c r="H77" s="18">
        <f t="shared" si="11"/>
        <v>8.42</v>
      </c>
      <c r="I77" s="11"/>
      <c r="J77" s="9"/>
      <c r="K77" s="9"/>
      <c r="L77" s="23"/>
      <c r="M77" s="54"/>
      <c r="N77"/>
    </row>
    <row r="78" spans="1:14" ht="18" x14ac:dyDescent="0.3">
      <c r="A78" s="122"/>
      <c r="B78" s="9">
        <f t="shared" si="9"/>
        <v>24</v>
      </c>
      <c r="C78" s="9">
        <f t="shared" si="9"/>
        <v>12</v>
      </c>
      <c r="D78" s="9" t="str">
        <f t="shared" si="8"/>
        <v>Boisson spécial numéro 12</v>
      </c>
      <c r="E78" s="93">
        <f t="shared" si="8"/>
        <v>3.48</v>
      </c>
      <c r="F78" s="16">
        <f t="shared" si="8"/>
        <v>13.2</v>
      </c>
      <c r="G78" s="17">
        <f>E78/F78</f>
        <v>0.26363636363636367</v>
      </c>
      <c r="H78" s="18">
        <f>F78-E78</f>
        <v>9.7199999999999989</v>
      </c>
      <c r="I78" s="11"/>
      <c r="J78" s="9"/>
      <c r="K78" s="9"/>
      <c r="L78" s="23"/>
      <c r="M78" s="54"/>
      <c r="N78"/>
    </row>
    <row r="79" spans="1:14" ht="19" x14ac:dyDescent="0.35">
      <c r="A79" s="122"/>
      <c r="B79" s="9"/>
      <c r="C79" s="9"/>
      <c r="D79" s="10" t="str">
        <f t="shared" si="8"/>
        <v>CmO—PmO—Beverage Cost—Marge brute</v>
      </c>
      <c r="E79" s="29">
        <f>SUM(E67:E78)/C78</f>
        <v>2.8483333333333332</v>
      </c>
      <c r="F79" s="29">
        <f>SUM(F67:F78)/C78</f>
        <v>9.5333333333333332</v>
      </c>
      <c r="G79" s="36">
        <f>E79/F79</f>
        <v>0.29877622377622376</v>
      </c>
      <c r="H79" s="32">
        <f>F79-E79</f>
        <v>6.6850000000000005</v>
      </c>
      <c r="I79" s="33"/>
      <c r="J79" s="9"/>
      <c r="K79" s="9"/>
      <c r="L79" s="91">
        <v>1</v>
      </c>
      <c r="M79" s="54">
        <f>$M$21</f>
        <v>196</v>
      </c>
      <c r="N79"/>
    </row>
    <row r="80" spans="1:14" ht="19" thickBot="1" x14ac:dyDescent="0.35">
      <c r="A80" s="122"/>
      <c r="B80" s="9"/>
      <c r="C80" s="9"/>
      <c r="D80" s="9"/>
      <c r="E80" s="15"/>
      <c r="F80" s="15"/>
      <c r="G80" s="12"/>
      <c r="H80" s="35"/>
      <c r="I80" s="9"/>
      <c r="J80" s="9"/>
      <c r="K80" s="9"/>
      <c r="L80" s="23"/>
      <c r="M80" s="54"/>
      <c r="N80"/>
    </row>
    <row r="81" spans="1:14" ht="21" thickTop="1" thickBot="1" x14ac:dyDescent="0.4">
      <c r="A81" s="122"/>
      <c r="B81" s="9"/>
      <c r="C81" s="37"/>
      <c r="D81" s="38"/>
      <c r="E81" s="39"/>
      <c r="F81" s="39"/>
      <c r="G81" s="40"/>
      <c r="H81" s="41"/>
      <c r="I81" s="42"/>
      <c r="J81" s="9"/>
      <c r="K81" s="9"/>
      <c r="L81" s="23"/>
      <c r="M81" s="54"/>
      <c r="N81"/>
    </row>
    <row r="82" spans="1:14" ht="20" thickTop="1" thickBot="1" x14ac:dyDescent="0.35">
      <c r="A82" s="122"/>
      <c r="B82" s="9"/>
      <c r="C82" s="44"/>
      <c r="D82" s="10"/>
      <c r="E82" s="45" t="str">
        <f>E39</f>
        <v>CmO</v>
      </c>
      <c r="F82" s="45" t="str">
        <f>F39</f>
        <v>PmO</v>
      </c>
      <c r="G82" s="46" t="str">
        <f>G39</f>
        <v>F&amp;BCmO</v>
      </c>
      <c r="H82" s="47" t="str">
        <f>H39</f>
        <v>BmO</v>
      </c>
      <c r="I82" s="48"/>
      <c r="J82" s="9"/>
      <c r="K82" s="9"/>
      <c r="L82" s="23"/>
      <c r="M82" s="54"/>
      <c r="N82"/>
    </row>
    <row r="83" spans="1:14" ht="19" thickTop="1" x14ac:dyDescent="0.3">
      <c r="A83" s="122"/>
      <c r="B83" s="9"/>
      <c r="C83" s="44"/>
      <c r="D83" s="49" t="str">
        <f>D40</f>
        <v>OFFRE TOTALE AVEC LES GÂTERIES ET LES CAFÉS GÂTERIES</v>
      </c>
      <c r="E83" s="15"/>
      <c r="F83" s="15"/>
      <c r="G83" s="12"/>
      <c r="H83" s="35"/>
      <c r="I83" s="50"/>
      <c r="J83" s="9"/>
      <c r="K83" s="9"/>
      <c r="L83" s="23"/>
      <c r="M83" s="54"/>
      <c r="N83"/>
    </row>
    <row r="84" spans="1:14" ht="19" x14ac:dyDescent="0.35">
      <c r="A84" s="122"/>
      <c r="B84" s="9"/>
      <c r="C84" s="44"/>
      <c r="D84" s="10" t="str">
        <f>D41</f>
        <v>CmO—PmO—F&amp;B cost moyen offert—Marge brute</v>
      </c>
      <c r="E84" s="30">
        <f>+(E52+E53+E54+E55+E56+E57+E58+E59+E60+E61+E62+E63+E67+E68+E69+E70+E71+E72+E73+E74+E75+E76+E77+E78)/B78</f>
        <v>2.1649999999999996</v>
      </c>
      <c r="F84" s="30">
        <f>+(F52+F53+F54+F55+F56+F57+F58+F59+F60+F61+F62+F63+F67+F68+F69+F70+F71+F72+F73+F74+F75+F76+F77+F78)/B78</f>
        <v>7.1749999999999998</v>
      </c>
      <c r="G84" s="51">
        <f>E84/F84</f>
        <v>0.30174216027874562</v>
      </c>
      <c r="H84" s="52">
        <f>F84-E84</f>
        <v>5.01</v>
      </c>
      <c r="I84" s="53"/>
      <c r="J84" s="9"/>
      <c r="K84" s="9"/>
      <c r="L84" s="23">
        <f>L41</f>
        <v>2</v>
      </c>
      <c r="M84" s="54">
        <f>$M$21</f>
        <v>196</v>
      </c>
      <c r="N84"/>
    </row>
    <row r="85" spans="1:14" ht="18" x14ac:dyDescent="0.3">
      <c r="A85" s="122"/>
      <c r="B85" s="9"/>
      <c r="C85" s="44"/>
      <c r="D85" s="9"/>
      <c r="E85" s="55"/>
      <c r="F85" s="55"/>
      <c r="G85" s="56"/>
      <c r="H85" s="57"/>
      <c r="I85" s="58"/>
      <c r="J85" s="9"/>
      <c r="K85" s="9"/>
      <c r="L85" s="23"/>
      <c r="M85" s="54"/>
      <c r="N85"/>
    </row>
    <row r="86" spans="1:14" ht="19" thickBot="1" x14ac:dyDescent="0.35">
      <c r="A86" s="122"/>
      <c r="B86" s="9"/>
      <c r="C86" s="59"/>
      <c r="D86" s="60"/>
      <c r="E86" s="61"/>
      <c r="F86" s="61"/>
      <c r="G86" s="62"/>
      <c r="H86" s="63"/>
      <c r="I86" s="64"/>
      <c r="J86" s="9"/>
      <c r="K86" s="9"/>
      <c r="L86" s="65"/>
      <c r="M86" s="98"/>
      <c r="N86"/>
    </row>
    <row r="87" spans="1:14" ht="19" thickTop="1" x14ac:dyDescent="0.3">
      <c r="A87" s="122"/>
      <c r="B87" s="43"/>
      <c r="C87" s="43"/>
      <c r="D87" s="43"/>
      <c r="E87" s="43"/>
      <c r="F87" s="43"/>
      <c r="G87" s="43"/>
      <c r="H87" s="43"/>
      <c r="I87" s="43"/>
      <c r="J87" s="9"/>
      <c r="K87" s="9"/>
      <c r="L87" s="8"/>
      <c r="M87" s="67"/>
      <c r="N87"/>
    </row>
    <row r="88" spans="1:14" ht="23" x14ac:dyDescent="0.3">
      <c r="A88" s="122"/>
      <c r="D88" s="2" t="s">
        <v>51</v>
      </c>
      <c r="F88" s="3"/>
      <c r="L88" s="8"/>
      <c r="M88" s="67"/>
      <c r="N88"/>
    </row>
    <row r="89" spans="1:14" ht="24" thickBot="1" x14ac:dyDescent="0.35">
      <c r="A89" s="122"/>
      <c r="D89" s="4"/>
      <c r="L89" s="8"/>
      <c r="M89" s="67"/>
      <c r="N89"/>
    </row>
    <row r="90" spans="1:14" ht="23" customHeight="1" thickTop="1" x14ac:dyDescent="0.25">
      <c r="A90" s="122"/>
      <c r="D90" s="4"/>
      <c r="E90" s="108" t="str">
        <f>E47</f>
        <v>Coûts des ressources alimentaires pour chaque produit offert (voir recettes standardisées)</v>
      </c>
      <c r="F90" s="108" t="str">
        <f>F47</f>
        <v>Prix de vente par produit offert</v>
      </c>
      <c r="G90" s="108" t="str">
        <f>G47</f>
        <v xml:space="preserve">« Food &amp; Beverage Cost » </v>
      </c>
      <c r="H90" s="108" t="str">
        <f>H47</f>
        <v>Marge brute gagnée sur la vente de chaque produit offert</v>
      </c>
      <c r="I90" s="5"/>
      <c r="L90" s="113" t="s">
        <v>5</v>
      </c>
      <c r="M90" s="113" t="s">
        <v>6</v>
      </c>
      <c r="N90"/>
    </row>
    <row r="91" spans="1:14" ht="22" x14ac:dyDescent="0.25">
      <c r="A91" s="122"/>
      <c r="D91" s="4"/>
      <c r="E91" s="109"/>
      <c r="F91" s="111"/>
      <c r="G91" s="111"/>
      <c r="H91" s="111"/>
      <c r="I91" s="6"/>
      <c r="L91" s="114"/>
      <c r="M91" s="116"/>
      <c r="N91"/>
    </row>
    <row r="92" spans="1:14" ht="17" thickBot="1" x14ac:dyDescent="0.25">
      <c r="A92" s="122"/>
      <c r="E92" s="110"/>
      <c r="F92" s="112"/>
      <c r="G92" s="112"/>
      <c r="H92" s="112"/>
      <c r="I92" s="6"/>
      <c r="L92" s="115"/>
      <c r="M92" s="117"/>
      <c r="N92"/>
    </row>
    <row r="93" spans="1:14" ht="20" thickTop="1" thickBot="1" x14ac:dyDescent="0.35">
      <c r="A93" s="122"/>
      <c r="B93" s="1" t="s">
        <v>7</v>
      </c>
      <c r="E93" s="3"/>
      <c r="F93" s="3"/>
      <c r="G93" s="7"/>
      <c r="L93" s="8"/>
      <c r="M93" s="67"/>
      <c r="N93"/>
    </row>
    <row r="94" spans="1:14" ht="19" thickTop="1" x14ac:dyDescent="0.3">
      <c r="A94" s="122"/>
      <c r="B94" s="9"/>
      <c r="C94" s="9"/>
      <c r="D94" s="10" t="str">
        <f t="shared" ref="D94:F107" si="12">D51</f>
        <v>Les Petite Gâteries</v>
      </c>
      <c r="E94" s="11"/>
      <c r="F94" s="11"/>
      <c r="G94" s="12"/>
      <c r="H94" s="9"/>
      <c r="I94" s="9"/>
      <c r="J94" s="9"/>
      <c r="K94" s="9"/>
      <c r="L94" s="13"/>
      <c r="M94" s="97"/>
      <c r="N94"/>
    </row>
    <row r="95" spans="1:14" ht="18" x14ac:dyDescent="0.3">
      <c r="A95" s="122"/>
      <c r="B95" s="9">
        <f t="shared" ref="B95:C106" si="13">B52</f>
        <v>1</v>
      </c>
      <c r="C95" s="9">
        <f t="shared" si="13"/>
        <v>1</v>
      </c>
      <c r="D95" s="9" t="str">
        <f t="shared" si="12"/>
        <v>Petite Gâterie 1</v>
      </c>
      <c r="E95" s="93">
        <f t="shared" si="12"/>
        <v>1.21</v>
      </c>
      <c r="F95" s="16">
        <f t="shared" si="12"/>
        <v>3.3</v>
      </c>
      <c r="G95" s="17">
        <f t="shared" ref="G95:G107" si="14">E95/F95</f>
        <v>0.3666666666666667</v>
      </c>
      <c r="H95" s="18">
        <f t="shared" ref="H95:H107" si="15">F95-E95</f>
        <v>2.09</v>
      </c>
      <c r="I95" s="11"/>
      <c r="J95" s="9"/>
      <c r="K95" s="9"/>
      <c r="L95" s="20"/>
      <c r="M95" s="54"/>
      <c r="N95"/>
    </row>
    <row r="96" spans="1:14" ht="18" x14ac:dyDescent="0.3">
      <c r="A96" s="122"/>
      <c r="B96" s="9">
        <f t="shared" si="13"/>
        <v>2</v>
      </c>
      <c r="C96" s="9">
        <f t="shared" si="13"/>
        <v>2</v>
      </c>
      <c r="D96" s="9" t="str">
        <f t="shared" si="12"/>
        <v>Petite Gâterie 2</v>
      </c>
      <c r="E96" s="93">
        <f t="shared" si="12"/>
        <v>1.31</v>
      </c>
      <c r="F96" s="16">
        <f t="shared" si="12"/>
        <v>3.8</v>
      </c>
      <c r="G96" s="17">
        <f t="shared" si="14"/>
        <v>0.34473684210526317</v>
      </c>
      <c r="H96" s="18">
        <f t="shared" si="15"/>
        <v>2.4899999999999998</v>
      </c>
      <c r="I96" s="11"/>
      <c r="J96" s="9"/>
      <c r="K96" s="9"/>
      <c r="L96" s="23"/>
      <c r="M96" s="54"/>
      <c r="N96"/>
    </row>
    <row r="97" spans="1:14" ht="18" x14ac:dyDescent="0.3">
      <c r="A97" s="122"/>
      <c r="B97" s="9">
        <f t="shared" si="13"/>
        <v>3</v>
      </c>
      <c r="C97" s="9">
        <f t="shared" si="13"/>
        <v>3</v>
      </c>
      <c r="D97" s="9" t="str">
        <f t="shared" si="12"/>
        <v>Petite Gâterie 3</v>
      </c>
      <c r="E97" s="93">
        <f t="shared" si="12"/>
        <v>1.35</v>
      </c>
      <c r="F97" s="16">
        <f t="shared" si="12"/>
        <v>4</v>
      </c>
      <c r="G97" s="17">
        <f t="shared" si="14"/>
        <v>0.33750000000000002</v>
      </c>
      <c r="H97" s="18">
        <f t="shared" si="15"/>
        <v>2.65</v>
      </c>
      <c r="I97" s="11"/>
      <c r="J97" s="9"/>
      <c r="K97" s="9"/>
      <c r="L97" s="23"/>
      <c r="M97" s="54"/>
      <c r="N97"/>
    </row>
    <row r="98" spans="1:14" ht="18" x14ac:dyDescent="0.3">
      <c r="A98" s="122"/>
      <c r="B98" s="9">
        <f t="shared" si="13"/>
        <v>4</v>
      </c>
      <c r="C98" s="9">
        <f t="shared" si="13"/>
        <v>4</v>
      </c>
      <c r="D98" s="9" t="str">
        <f t="shared" si="12"/>
        <v>Petite Gâterie 4</v>
      </c>
      <c r="E98" s="93">
        <f t="shared" si="12"/>
        <v>1.4</v>
      </c>
      <c r="F98" s="16">
        <f t="shared" si="12"/>
        <v>4.5</v>
      </c>
      <c r="G98" s="17">
        <f t="shared" si="14"/>
        <v>0.31111111111111112</v>
      </c>
      <c r="H98" s="18">
        <f t="shared" si="15"/>
        <v>3.1</v>
      </c>
      <c r="I98" s="11"/>
      <c r="J98" s="9"/>
      <c r="K98" s="9"/>
      <c r="L98" s="23"/>
      <c r="M98" s="54"/>
      <c r="N98"/>
    </row>
    <row r="99" spans="1:14" ht="18" x14ac:dyDescent="0.3">
      <c r="A99" s="122"/>
      <c r="B99" s="9">
        <f t="shared" si="13"/>
        <v>5</v>
      </c>
      <c r="C99" s="9">
        <f t="shared" si="13"/>
        <v>5</v>
      </c>
      <c r="D99" s="9" t="str">
        <f t="shared" si="12"/>
        <v>Petite Gâterie 5</v>
      </c>
      <c r="E99" s="93">
        <f t="shared" si="12"/>
        <v>1.24</v>
      </c>
      <c r="F99" s="16">
        <f t="shared" si="12"/>
        <v>4.5999999999999996</v>
      </c>
      <c r="G99" s="17">
        <f t="shared" si="14"/>
        <v>0.26956521739130435</v>
      </c>
      <c r="H99" s="18">
        <f t="shared" si="15"/>
        <v>3.3599999999999994</v>
      </c>
      <c r="I99" s="11"/>
      <c r="J99" s="9"/>
      <c r="K99" s="9"/>
      <c r="L99" s="23"/>
      <c r="M99" s="54"/>
      <c r="N99"/>
    </row>
    <row r="100" spans="1:14" ht="18" x14ac:dyDescent="0.3">
      <c r="A100" s="122"/>
      <c r="B100" s="9">
        <f t="shared" si="13"/>
        <v>6</v>
      </c>
      <c r="C100" s="9">
        <f t="shared" si="13"/>
        <v>6</v>
      </c>
      <c r="D100" s="9" t="str">
        <f t="shared" si="12"/>
        <v>Petite Gâterie 6</v>
      </c>
      <c r="E100" s="93">
        <f t="shared" si="12"/>
        <v>1.39</v>
      </c>
      <c r="F100" s="16">
        <f t="shared" si="12"/>
        <v>4.7</v>
      </c>
      <c r="G100" s="17">
        <f t="shared" si="14"/>
        <v>0.29574468085106381</v>
      </c>
      <c r="H100" s="18">
        <f t="shared" si="15"/>
        <v>3.3100000000000005</v>
      </c>
      <c r="I100" s="11"/>
      <c r="J100" s="9"/>
      <c r="K100" s="9"/>
      <c r="L100" s="23"/>
      <c r="M100" s="54"/>
      <c r="N100"/>
    </row>
    <row r="101" spans="1:14" ht="18" x14ac:dyDescent="0.3">
      <c r="A101" s="122"/>
      <c r="B101" s="9">
        <f t="shared" si="13"/>
        <v>7</v>
      </c>
      <c r="C101" s="9">
        <f t="shared" si="13"/>
        <v>7</v>
      </c>
      <c r="D101" s="9" t="str">
        <f t="shared" si="12"/>
        <v>Petite Gâterie 7</v>
      </c>
      <c r="E101" s="93">
        <f t="shared" si="12"/>
        <v>1.51</v>
      </c>
      <c r="F101" s="16">
        <f t="shared" si="12"/>
        <v>4.8</v>
      </c>
      <c r="G101" s="17">
        <f t="shared" si="14"/>
        <v>0.31458333333333333</v>
      </c>
      <c r="H101" s="18">
        <f t="shared" si="15"/>
        <v>3.29</v>
      </c>
      <c r="I101" s="11"/>
      <c r="J101" s="9"/>
      <c r="K101" s="9"/>
      <c r="L101" s="23"/>
      <c r="M101" s="54"/>
      <c r="N101"/>
    </row>
    <row r="102" spans="1:14" ht="18" x14ac:dyDescent="0.3">
      <c r="A102" s="122"/>
      <c r="B102" s="9">
        <f t="shared" si="13"/>
        <v>8</v>
      </c>
      <c r="C102" s="9">
        <f t="shared" si="13"/>
        <v>8</v>
      </c>
      <c r="D102" s="9" t="str">
        <f t="shared" si="12"/>
        <v>Petite Gâterie 8</v>
      </c>
      <c r="E102" s="93">
        <f t="shared" si="12"/>
        <v>1.53</v>
      </c>
      <c r="F102" s="16">
        <f t="shared" si="12"/>
        <v>4.9000000000000004</v>
      </c>
      <c r="G102" s="17">
        <f t="shared" si="14"/>
        <v>0.31224489795918364</v>
      </c>
      <c r="H102" s="18">
        <f t="shared" si="15"/>
        <v>3.37</v>
      </c>
      <c r="I102" s="11"/>
      <c r="J102" s="9"/>
      <c r="K102" s="9"/>
      <c r="L102" s="23"/>
      <c r="M102" s="54"/>
      <c r="N102"/>
    </row>
    <row r="103" spans="1:14" ht="18" x14ac:dyDescent="0.3">
      <c r="A103" s="122"/>
      <c r="B103" s="9">
        <f t="shared" si="13"/>
        <v>9</v>
      </c>
      <c r="C103" s="9">
        <f t="shared" si="13"/>
        <v>9</v>
      </c>
      <c r="D103" s="9" t="str">
        <f t="shared" si="12"/>
        <v>Petite Gâterie 9</v>
      </c>
      <c r="E103" s="93">
        <f t="shared" si="12"/>
        <v>1.55</v>
      </c>
      <c r="F103" s="16">
        <f t="shared" si="12"/>
        <v>5</v>
      </c>
      <c r="G103" s="17">
        <f t="shared" si="14"/>
        <v>0.31</v>
      </c>
      <c r="H103" s="18">
        <f t="shared" si="15"/>
        <v>3.45</v>
      </c>
      <c r="I103" s="11"/>
      <c r="J103" s="9"/>
      <c r="K103" s="9"/>
      <c r="L103" s="23"/>
      <c r="M103" s="54"/>
      <c r="N103"/>
    </row>
    <row r="104" spans="1:14" ht="18" x14ac:dyDescent="0.3">
      <c r="A104" s="122"/>
      <c r="B104" s="9">
        <f t="shared" si="13"/>
        <v>10</v>
      </c>
      <c r="C104" s="9">
        <f t="shared" si="13"/>
        <v>10</v>
      </c>
      <c r="D104" s="9" t="str">
        <f t="shared" si="12"/>
        <v>Petite Gâterie 10</v>
      </c>
      <c r="E104" s="93">
        <f t="shared" si="12"/>
        <v>1.59</v>
      </c>
      <c r="F104" s="16">
        <f t="shared" si="12"/>
        <v>5.2</v>
      </c>
      <c r="G104" s="17">
        <f t="shared" si="14"/>
        <v>0.30576923076923079</v>
      </c>
      <c r="H104" s="18">
        <f t="shared" si="15"/>
        <v>3.6100000000000003</v>
      </c>
      <c r="I104" s="11"/>
      <c r="J104" s="9"/>
      <c r="K104" s="9"/>
      <c r="L104" s="23"/>
      <c r="M104" s="54"/>
      <c r="N104"/>
    </row>
    <row r="105" spans="1:14" ht="18" x14ac:dyDescent="0.3">
      <c r="A105" s="122"/>
      <c r="B105" s="9">
        <f t="shared" si="13"/>
        <v>11</v>
      </c>
      <c r="C105" s="9">
        <f t="shared" si="13"/>
        <v>11</v>
      </c>
      <c r="D105" s="9" t="str">
        <f t="shared" si="12"/>
        <v>Petite Gâterie 11</v>
      </c>
      <c r="E105" s="93">
        <f t="shared" si="12"/>
        <v>1.83</v>
      </c>
      <c r="F105" s="16">
        <f t="shared" si="12"/>
        <v>6.4</v>
      </c>
      <c r="G105" s="17">
        <f t="shared" si="14"/>
        <v>0.28593750000000001</v>
      </c>
      <c r="H105" s="18">
        <f t="shared" si="15"/>
        <v>4.57</v>
      </c>
      <c r="I105" s="11"/>
      <c r="J105" s="9"/>
      <c r="K105" s="9"/>
      <c r="L105" s="23"/>
      <c r="M105" s="54"/>
      <c r="N105"/>
    </row>
    <row r="106" spans="1:14" ht="18" x14ac:dyDescent="0.3">
      <c r="A106" s="122"/>
      <c r="B106" s="9">
        <f t="shared" si="13"/>
        <v>12</v>
      </c>
      <c r="C106" s="9">
        <f t="shared" si="13"/>
        <v>12</v>
      </c>
      <c r="D106" s="9" t="str">
        <f t="shared" si="12"/>
        <v>Petite Gâterie 12</v>
      </c>
      <c r="E106" s="93">
        <f t="shared" si="12"/>
        <v>1.87</v>
      </c>
      <c r="F106" s="16">
        <f t="shared" si="12"/>
        <v>6.6</v>
      </c>
      <c r="G106" s="17">
        <f t="shared" si="14"/>
        <v>0.28333333333333338</v>
      </c>
      <c r="H106" s="18">
        <f t="shared" si="15"/>
        <v>4.7299999999999995</v>
      </c>
      <c r="I106" s="11"/>
      <c r="J106" s="9"/>
      <c r="K106" s="9"/>
      <c r="L106" s="23"/>
      <c r="M106" s="54"/>
      <c r="N106"/>
    </row>
    <row r="107" spans="1:14" ht="19" x14ac:dyDescent="0.35">
      <c r="A107" s="122"/>
      <c r="B107" s="9"/>
      <c r="C107" s="9"/>
      <c r="D107" s="10" t="str">
        <f t="shared" si="12"/>
        <v>CmO—PmO—Food Cost—BmO</v>
      </c>
      <c r="E107" s="29">
        <f>SUM(E95:E106)/C106</f>
        <v>1.4816666666666667</v>
      </c>
      <c r="F107" s="29">
        <f>SUM(F95:F106)/C106</f>
        <v>4.8166666666666673</v>
      </c>
      <c r="G107" s="31">
        <f t="shared" si="14"/>
        <v>0.30761245674740478</v>
      </c>
      <c r="H107" s="32">
        <f t="shared" si="15"/>
        <v>3.3350000000000009</v>
      </c>
      <c r="I107" s="33"/>
      <c r="J107" s="9"/>
      <c r="K107" s="9"/>
      <c r="L107" s="91">
        <v>1</v>
      </c>
      <c r="M107" s="54">
        <f>$M$21</f>
        <v>196</v>
      </c>
      <c r="N107"/>
    </row>
    <row r="108" spans="1:14" ht="18" x14ac:dyDescent="0.3">
      <c r="A108" s="122"/>
      <c r="B108" s="9" t="s">
        <v>7</v>
      </c>
      <c r="C108" s="9"/>
      <c r="D108" s="9"/>
      <c r="E108" s="15"/>
      <c r="F108" s="15"/>
      <c r="G108" s="17"/>
      <c r="H108" s="35"/>
      <c r="I108" s="9"/>
      <c r="J108" s="9"/>
      <c r="K108" s="9"/>
      <c r="L108" s="23"/>
      <c r="M108" s="54"/>
      <c r="N108"/>
    </row>
    <row r="109" spans="1:14" ht="18" x14ac:dyDescent="0.3">
      <c r="A109" s="122"/>
      <c r="B109" s="9"/>
      <c r="C109" s="9"/>
      <c r="D109" s="10" t="str">
        <f t="shared" ref="D109:F122" si="16">D66</f>
        <v>Les Boissons  Gâteries</v>
      </c>
      <c r="E109" s="15"/>
      <c r="F109" s="15"/>
      <c r="G109" s="17"/>
      <c r="H109" s="35"/>
      <c r="I109" s="9"/>
      <c r="J109" s="9"/>
      <c r="K109" s="9"/>
      <c r="L109" s="23"/>
      <c r="M109" s="54"/>
      <c r="N109"/>
    </row>
    <row r="110" spans="1:14" ht="18" x14ac:dyDescent="0.3">
      <c r="A110" s="122"/>
      <c r="B110" s="9">
        <f t="shared" ref="B110:C121" si="17">B67</f>
        <v>13</v>
      </c>
      <c r="C110" s="9">
        <f t="shared" si="17"/>
        <v>1</v>
      </c>
      <c r="D110" s="9" t="str">
        <f t="shared" si="16"/>
        <v>Boisson spécial numéro 1</v>
      </c>
      <c r="E110" s="93">
        <f t="shared" si="16"/>
        <v>2.2799999999999998</v>
      </c>
      <c r="F110" s="16">
        <f t="shared" si="16"/>
        <v>6.6</v>
      </c>
      <c r="G110" s="17">
        <f>E110/F110</f>
        <v>0.34545454545454546</v>
      </c>
      <c r="H110" s="18">
        <f>F110-E110</f>
        <v>4.32</v>
      </c>
      <c r="I110" s="11"/>
      <c r="J110" s="9"/>
      <c r="K110" s="9"/>
      <c r="L110" s="23"/>
      <c r="M110" s="54"/>
      <c r="N110"/>
    </row>
    <row r="111" spans="1:14" ht="18" x14ac:dyDescent="0.3">
      <c r="A111" s="122"/>
      <c r="B111" s="9">
        <f t="shared" si="17"/>
        <v>14</v>
      </c>
      <c r="C111" s="9">
        <f t="shared" si="17"/>
        <v>2</v>
      </c>
      <c r="D111" s="9" t="str">
        <f t="shared" si="16"/>
        <v>Boisson spécial numéro 2</v>
      </c>
      <c r="E111" s="93">
        <f t="shared" si="16"/>
        <v>2.66</v>
      </c>
      <c r="F111" s="16">
        <f t="shared" si="16"/>
        <v>7.6</v>
      </c>
      <c r="G111" s="17">
        <f>E111/F111</f>
        <v>0.35000000000000003</v>
      </c>
      <c r="H111" s="18">
        <f>F111-E111</f>
        <v>4.9399999999999995</v>
      </c>
      <c r="I111" s="11"/>
      <c r="J111" s="9"/>
      <c r="K111" s="9"/>
      <c r="L111" s="23"/>
      <c r="M111" s="54"/>
      <c r="N111"/>
    </row>
    <row r="112" spans="1:14" ht="18" x14ac:dyDescent="0.3">
      <c r="A112" s="122"/>
      <c r="B112" s="9">
        <f t="shared" si="17"/>
        <v>15</v>
      </c>
      <c r="C112" s="9">
        <f t="shared" si="17"/>
        <v>3</v>
      </c>
      <c r="D112" s="9" t="str">
        <f t="shared" si="16"/>
        <v>Boisson spécial numéro 3</v>
      </c>
      <c r="E112" s="93">
        <f t="shared" si="16"/>
        <v>2.74</v>
      </c>
      <c r="F112" s="16">
        <f t="shared" si="16"/>
        <v>8</v>
      </c>
      <c r="G112" s="17">
        <f>E112/F112</f>
        <v>0.34250000000000003</v>
      </c>
      <c r="H112" s="18">
        <f>F112-E112</f>
        <v>5.26</v>
      </c>
      <c r="I112" s="11"/>
      <c r="J112" s="9"/>
      <c r="K112" s="9"/>
      <c r="L112" s="23"/>
      <c r="M112" s="54"/>
      <c r="N112"/>
    </row>
    <row r="113" spans="1:14" ht="18" x14ac:dyDescent="0.3">
      <c r="A113" s="122"/>
      <c r="B113" s="9">
        <f t="shared" si="17"/>
        <v>16</v>
      </c>
      <c r="C113" s="9">
        <f t="shared" si="17"/>
        <v>4</v>
      </c>
      <c r="D113" s="9" t="str">
        <f t="shared" si="16"/>
        <v>Boisson spécial numéro 4</v>
      </c>
      <c r="E113" s="93">
        <f t="shared" si="16"/>
        <v>2.72</v>
      </c>
      <c r="F113" s="16">
        <f t="shared" si="16"/>
        <v>9</v>
      </c>
      <c r="G113" s="17">
        <f t="shared" ref="G113:G120" si="18">E113/F113</f>
        <v>0.30222222222222223</v>
      </c>
      <c r="H113" s="18">
        <f t="shared" ref="H113:H120" si="19">F113-E113</f>
        <v>6.2799999999999994</v>
      </c>
      <c r="I113" s="11"/>
      <c r="J113" s="9"/>
      <c r="K113" s="9"/>
      <c r="L113" s="23"/>
      <c r="M113" s="54"/>
      <c r="N113"/>
    </row>
    <row r="114" spans="1:14" ht="18" x14ac:dyDescent="0.3">
      <c r="A114" s="122"/>
      <c r="B114" s="9">
        <f t="shared" si="17"/>
        <v>17</v>
      </c>
      <c r="C114" s="9">
        <f t="shared" si="17"/>
        <v>5</v>
      </c>
      <c r="D114" s="9" t="str">
        <f t="shared" si="16"/>
        <v>Boisson spécial numéro 5</v>
      </c>
      <c r="E114" s="93">
        <f t="shared" si="16"/>
        <v>2.76</v>
      </c>
      <c r="F114" s="16">
        <f t="shared" si="16"/>
        <v>9.1999999999999993</v>
      </c>
      <c r="G114" s="17">
        <f t="shared" si="18"/>
        <v>0.3</v>
      </c>
      <c r="H114" s="18">
        <f t="shared" si="19"/>
        <v>6.4399999999999995</v>
      </c>
      <c r="I114" s="11"/>
      <c r="J114" s="9"/>
      <c r="K114" s="9"/>
      <c r="L114" s="23"/>
      <c r="M114" s="54"/>
      <c r="N114"/>
    </row>
    <row r="115" spans="1:14" ht="18" x14ac:dyDescent="0.3">
      <c r="A115" s="122"/>
      <c r="B115" s="9">
        <f t="shared" si="17"/>
        <v>18</v>
      </c>
      <c r="C115" s="9">
        <f t="shared" si="17"/>
        <v>6</v>
      </c>
      <c r="D115" s="9" t="str">
        <f t="shared" si="16"/>
        <v>Boisson spécial numéro 6</v>
      </c>
      <c r="E115" s="93">
        <f t="shared" si="16"/>
        <v>2.8</v>
      </c>
      <c r="F115" s="16">
        <f t="shared" si="16"/>
        <v>9.4</v>
      </c>
      <c r="G115" s="17">
        <f t="shared" si="18"/>
        <v>0.2978723404255319</v>
      </c>
      <c r="H115" s="18">
        <f t="shared" si="19"/>
        <v>6.6000000000000005</v>
      </c>
      <c r="I115" s="11"/>
      <c r="J115" s="9"/>
      <c r="K115" s="9"/>
      <c r="L115" s="23"/>
      <c r="M115" s="54"/>
      <c r="N115"/>
    </row>
    <row r="116" spans="1:14" ht="18" x14ac:dyDescent="0.3">
      <c r="A116" s="122"/>
      <c r="B116" s="9">
        <f t="shared" si="17"/>
        <v>19</v>
      </c>
      <c r="C116" s="9">
        <f t="shared" si="17"/>
        <v>7</v>
      </c>
      <c r="D116" s="9" t="str">
        <f t="shared" si="16"/>
        <v>Boisson spécial numéro 7</v>
      </c>
      <c r="E116" s="93">
        <f t="shared" si="16"/>
        <v>2.82</v>
      </c>
      <c r="F116" s="16">
        <f t="shared" si="16"/>
        <v>9.6</v>
      </c>
      <c r="G116" s="17">
        <f t="shared" si="18"/>
        <v>0.29375000000000001</v>
      </c>
      <c r="H116" s="18">
        <f t="shared" si="19"/>
        <v>6.7799999999999994</v>
      </c>
      <c r="I116" s="11"/>
      <c r="J116" s="9"/>
      <c r="K116" s="9"/>
      <c r="L116" s="23"/>
      <c r="M116" s="54"/>
      <c r="N116"/>
    </row>
    <row r="117" spans="1:14" ht="18" x14ac:dyDescent="0.3">
      <c r="A117" s="122"/>
      <c r="B117" s="9">
        <f t="shared" si="17"/>
        <v>20</v>
      </c>
      <c r="C117" s="9">
        <f t="shared" si="17"/>
        <v>8</v>
      </c>
      <c r="D117" s="9" t="str">
        <f t="shared" si="16"/>
        <v>Boisson spécial numéro 8</v>
      </c>
      <c r="E117" s="93">
        <f t="shared" si="16"/>
        <v>2.86</v>
      </c>
      <c r="F117" s="16">
        <f t="shared" si="16"/>
        <v>9.8000000000000007</v>
      </c>
      <c r="G117" s="17">
        <f t="shared" si="18"/>
        <v>0.2918367346938775</v>
      </c>
      <c r="H117" s="18">
        <f t="shared" si="19"/>
        <v>6.9400000000000013</v>
      </c>
      <c r="I117" s="11"/>
      <c r="J117" s="9"/>
      <c r="K117" s="9"/>
      <c r="L117" s="23"/>
      <c r="M117" s="54"/>
      <c r="N117"/>
    </row>
    <row r="118" spans="1:14" ht="18" x14ac:dyDescent="0.3">
      <c r="A118" s="122"/>
      <c r="B118" s="9">
        <f t="shared" si="17"/>
        <v>21</v>
      </c>
      <c r="C118" s="9">
        <f t="shared" si="17"/>
        <v>9</v>
      </c>
      <c r="D118" s="9" t="str">
        <f t="shared" si="16"/>
        <v>Boisson spécial numéro 9</v>
      </c>
      <c r="E118" s="93">
        <f t="shared" si="16"/>
        <v>2.9</v>
      </c>
      <c r="F118" s="16">
        <f t="shared" si="16"/>
        <v>10</v>
      </c>
      <c r="G118" s="17">
        <f t="shared" si="18"/>
        <v>0.28999999999999998</v>
      </c>
      <c r="H118" s="18">
        <f t="shared" si="19"/>
        <v>7.1</v>
      </c>
      <c r="I118" s="11"/>
      <c r="J118" s="9"/>
      <c r="K118" s="9"/>
      <c r="L118" s="23"/>
      <c r="M118" s="54"/>
      <c r="N118"/>
    </row>
    <row r="119" spans="1:14" ht="18" x14ac:dyDescent="0.3">
      <c r="A119" s="122"/>
      <c r="B119" s="9">
        <f t="shared" si="17"/>
        <v>22</v>
      </c>
      <c r="C119" s="9">
        <f t="shared" si="17"/>
        <v>10</v>
      </c>
      <c r="D119" s="9" t="str">
        <f t="shared" si="16"/>
        <v>Boisson spécial numéro 10</v>
      </c>
      <c r="E119" s="93">
        <f t="shared" si="16"/>
        <v>2.98</v>
      </c>
      <c r="F119" s="16">
        <f t="shared" si="16"/>
        <v>10.4</v>
      </c>
      <c r="G119" s="17">
        <f t="shared" si="18"/>
        <v>0.28653846153846152</v>
      </c>
      <c r="H119" s="18">
        <f t="shared" si="19"/>
        <v>7.42</v>
      </c>
      <c r="I119" s="11"/>
      <c r="J119" s="9"/>
      <c r="K119" s="9"/>
      <c r="L119" s="23"/>
      <c r="M119" s="54"/>
      <c r="N119"/>
    </row>
    <row r="120" spans="1:14" ht="18" x14ac:dyDescent="0.3">
      <c r="A120" s="122"/>
      <c r="B120" s="9">
        <f t="shared" si="17"/>
        <v>23</v>
      </c>
      <c r="C120" s="9">
        <f t="shared" si="17"/>
        <v>11</v>
      </c>
      <c r="D120" s="9" t="str">
        <f t="shared" si="16"/>
        <v>Boisson spécial numéro 11</v>
      </c>
      <c r="E120" s="93">
        <f t="shared" si="16"/>
        <v>3.18</v>
      </c>
      <c r="F120" s="16">
        <f t="shared" si="16"/>
        <v>11.6</v>
      </c>
      <c r="G120" s="17">
        <f t="shared" si="18"/>
        <v>0.27413793103448281</v>
      </c>
      <c r="H120" s="18">
        <f t="shared" si="19"/>
        <v>8.42</v>
      </c>
      <c r="I120" s="11"/>
      <c r="J120" s="9"/>
      <c r="K120" s="9"/>
      <c r="L120" s="23"/>
      <c r="M120" s="54"/>
      <c r="N120"/>
    </row>
    <row r="121" spans="1:14" ht="18" x14ac:dyDescent="0.3">
      <c r="A121" s="122"/>
      <c r="B121" s="9">
        <f t="shared" si="17"/>
        <v>24</v>
      </c>
      <c r="C121" s="9">
        <f t="shared" si="17"/>
        <v>12</v>
      </c>
      <c r="D121" s="9" t="str">
        <f t="shared" si="16"/>
        <v>Boisson spécial numéro 12</v>
      </c>
      <c r="E121" s="93">
        <f t="shared" si="16"/>
        <v>3.48</v>
      </c>
      <c r="F121" s="16">
        <f t="shared" si="16"/>
        <v>13.2</v>
      </c>
      <c r="G121" s="17">
        <f>E121/F121</f>
        <v>0.26363636363636367</v>
      </c>
      <c r="H121" s="18">
        <f>F121-E121</f>
        <v>9.7199999999999989</v>
      </c>
      <c r="I121" s="11"/>
      <c r="J121" s="9"/>
      <c r="K121" s="9"/>
      <c r="L121" s="23"/>
      <c r="M121" s="54"/>
      <c r="N121"/>
    </row>
    <row r="122" spans="1:14" ht="19" x14ac:dyDescent="0.35">
      <c r="A122" s="122"/>
      <c r="B122" s="9"/>
      <c r="C122" s="9"/>
      <c r="D122" s="10" t="str">
        <f t="shared" si="16"/>
        <v>CmO—PmO—Beverage Cost—Marge brute</v>
      </c>
      <c r="E122" s="29">
        <f>SUM(E110:E121)/C121</f>
        <v>2.8483333333333332</v>
      </c>
      <c r="F122" s="29">
        <f>SUM(F110:F121)/C121</f>
        <v>9.5333333333333332</v>
      </c>
      <c r="G122" s="36">
        <f>E122/F122</f>
        <v>0.29877622377622376</v>
      </c>
      <c r="H122" s="32">
        <f>F122-E122</f>
        <v>6.6850000000000005</v>
      </c>
      <c r="I122" s="33"/>
      <c r="J122" s="9"/>
      <c r="K122" s="9"/>
      <c r="L122" s="91">
        <v>1</v>
      </c>
      <c r="M122" s="54">
        <f>$M$21</f>
        <v>196</v>
      </c>
      <c r="N122"/>
    </row>
    <row r="123" spans="1:14" ht="19" thickBot="1" x14ac:dyDescent="0.35">
      <c r="A123" s="122"/>
      <c r="B123" s="9"/>
      <c r="C123" s="9"/>
      <c r="D123" s="9"/>
      <c r="E123" s="15"/>
      <c r="F123" s="15"/>
      <c r="G123" s="12"/>
      <c r="H123" s="35"/>
      <c r="I123" s="9"/>
      <c r="J123" s="9"/>
      <c r="K123" s="9"/>
      <c r="L123" s="23"/>
      <c r="M123" s="54"/>
      <c r="N123"/>
    </row>
    <row r="124" spans="1:14" ht="21" thickTop="1" thickBot="1" x14ac:dyDescent="0.4">
      <c r="A124" s="122"/>
      <c r="B124" s="9"/>
      <c r="C124" s="37"/>
      <c r="D124" s="38"/>
      <c r="E124" s="39"/>
      <c r="F124" s="39"/>
      <c r="G124" s="40"/>
      <c r="H124" s="41"/>
      <c r="I124" s="42"/>
      <c r="J124" s="9"/>
      <c r="K124" s="9"/>
      <c r="L124" s="23"/>
      <c r="M124" s="54"/>
      <c r="N124"/>
    </row>
    <row r="125" spans="1:14" ht="20" thickTop="1" thickBot="1" x14ac:dyDescent="0.35">
      <c r="A125" s="122"/>
      <c r="B125" s="9"/>
      <c r="C125" s="44"/>
      <c r="D125" s="10"/>
      <c r="E125" s="45" t="str">
        <f>E82</f>
        <v>CmO</v>
      </c>
      <c r="F125" s="45" t="str">
        <f>F82</f>
        <v>PmO</v>
      </c>
      <c r="G125" s="46" t="str">
        <f>G82</f>
        <v>F&amp;BCmO</v>
      </c>
      <c r="H125" s="47" t="str">
        <f>H82</f>
        <v>BmO</v>
      </c>
      <c r="I125" s="48"/>
      <c r="J125" s="9"/>
      <c r="K125" s="9"/>
      <c r="L125" s="23"/>
      <c r="M125" s="54"/>
      <c r="N125"/>
    </row>
    <row r="126" spans="1:14" ht="19" thickTop="1" x14ac:dyDescent="0.3">
      <c r="A126" s="122"/>
      <c r="B126" s="9"/>
      <c r="C126" s="44"/>
      <c r="D126" s="49" t="str">
        <f>D83</f>
        <v>OFFRE TOTALE AVEC LES GÂTERIES ET LES CAFÉS GÂTERIES</v>
      </c>
      <c r="E126" s="15"/>
      <c r="F126" s="15"/>
      <c r="G126" s="12"/>
      <c r="H126" s="35"/>
      <c r="I126" s="50"/>
      <c r="J126" s="9"/>
      <c r="K126" s="9"/>
      <c r="L126" s="23"/>
      <c r="M126" s="54"/>
      <c r="N126"/>
    </row>
    <row r="127" spans="1:14" ht="19" x14ac:dyDescent="0.35">
      <c r="A127" s="122"/>
      <c r="B127" s="9"/>
      <c r="C127" s="44"/>
      <c r="D127" s="10" t="str">
        <f>D84</f>
        <v>CmO—PmO—F&amp;B cost moyen offert—Marge brute</v>
      </c>
      <c r="E127" s="30">
        <f>+(E95+E96+E97+E98+E99+E100+E101+E102+E103+E104+E105+E106+E110+E111+E112+E113+E114+E115+E116+E117+E118+E119+E120+E121)/B121</f>
        <v>2.1649999999999996</v>
      </c>
      <c r="F127" s="30">
        <f>+(F95+F96+F97+F98+F99+F100+F101+F102+F103+F104+F105+F106+F110+F111+F112+F113+F114+F115+F116+F117+F118+F119+F120+F121)/B121</f>
        <v>7.1749999999999998</v>
      </c>
      <c r="G127" s="51">
        <f>E127/F127</f>
        <v>0.30174216027874562</v>
      </c>
      <c r="H127" s="52">
        <f>F127-E127</f>
        <v>5.01</v>
      </c>
      <c r="I127" s="53"/>
      <c r="J127" s="9"/>
      <c r="K127" s="9"/>
      <c r="L127" s="23">
        <f>L84</f>
        <v>2</v>
      </c>
      <c r="M127" s="54">
        <f>$M$21</f>
        <v>196</v>
      </c>
      <c r="N127"/>
    </row>
    <row r="128" spans="1:14" ht="18" x14ac:dyDescent="0.3">
      <c r="A128" s="122"/>
      <c r="B128" s="9"/>
      <c r="C128" s="44"/>
      <c r="D128" s="9"/>
      <c r="E128" s="55"/>
      <c r="F128" s="55"/>
      <c r="G128" s="56"/>
      <c r="H128" s="57"/>
      <c r="I128" s="58"/>
      <c r="J128" s="9"/>
      <c r="K128" s="9"/>
      <c r="L128" s="23"/>
      <c r="M128" s="54"/>
      <c r="N128"/>
    </row>
    <row r="129" spans="1:14" ht="19" thickBot="1" x14ac:dyDescent="0.35">
      <c r="A129" s="122"/>
      <c r="B129" s="9"/>
      <c r="C129" s="59"/>
      <c r="D129" s="60"/>
      <c r="E129" s="61"/>
      <c r="F129" s="61"/>
      <c r="G129" s="62"/>
      <c r="H129" s="63"/>
      <c r="I129" s="64"/>
      <c r="J129" s="9"/>
      <c r="K129" s="9"/>
      <c r="L129" s="65"/>
      <c r="M129" s="98"/>
      <c r="N129"/>
    </row>
    <row r="130" spans="1:14" ht="19" thickTop="1" x14ac:dyDescent="0.3">
      <c r="A130" s="122"/>
      <c r="B130" s="43"/>
      <c r="C130" s="43"/>
      <c r="D130" s="43"/>
      <c r="E130" s="43"/>
      <c r="F130" s="43"/>
      <c r="G130" s="43"/>
      <c r="H130" s="43"/>
      <c r="I130" s="43"/>
      <c r="J130" s="9"/>
      <c r="K130" s="9"/>
      <c r="L130" s="8"/>
      <c r="M130" s="67"/>
      <c r="N130"/>
    </row>
    <row r="131" spans="1:14" ht="23" x14ac:dyDescent="0.3">
      <c r="A131" s="122"/>
      <c r="D131" s="2" t="s">
        <v>52</v>
      </c>
      <c r="F131" s="3"/>
      <c r="L131" s="8"/>
      <c r="M131" s="67"/>
      <c r="N131"/>
    </row>
    <row r="132" spans="1:14" ht="24" thickBot="1" x14ac:dyDescent="0.35">
      <c r="A132" s="122"/>
      <c r="D132" s="4"/>
      <c r="L132" s="8"/>
      <c r="M132" s="67"/>
      <c r="N132"/>
    </row>
    <row r="133" spans="1:14" ht="23" customHeight="1" thickTop="1" x14ac:dyDescent="0.25">
      <c r="A133" s="122"/>
      <c r="D133" s="4"/>
      <c r="E133" s="108" t="str">
        <f>E90</f>
        <v>Coûts des ressources alimentaires pour chaque produit offert (voir recettes standardisées)</v>
      </c>
      <c r="F133" s="108" t="str">
        <f>F90</f>
        <v>Prix de vente par produit offert</v>
      </c>
      <c r="G133" s="108" t="str">
        <f>G90</f>
        <v xml:space="preserve">« Food &amp; Beverage Cost » </v>
      </c>
      <c r="H133" s="108" t="str">
        <f>H90</f>
        <v>Marge brute gagnée sur la vente de chaque produit offert</v>
      </c>
      <c r="I133" s="5"/>
      <c r="L133" s="113" t="s">
        <v>5</v>
      </c>
      <c r="M133" s="113" t="s">
        <v>6</v>
      </c>
      <c r="N133"/>
    </row>
    <row r="134" spans="1:14" ht="22" x14ac:dyDescent="0.25">
      <c r="A134" s="122"/>
      <c r="D134" s="4"/>
      <c r="E134" s="109"/>
      <c r="F134" s="111"/>
      <c r="G134" s="111"/>
      <c r="H134" s="111"/>
      <c r="I134" s="6"/>
      <c r="L134" s="114"/>
      <c r="M134" s="116"/>
      <c r="N134"/>
    </row>
    <row r="135" spans="1:14" ht="17" thickBot="1" x14ac:dyDescent="0.25">
      <c r="A135" s="122"/>
      <c r="E135" s="110"/>
      <c r="F135" s="112"/>
      <c r="G135" s="112"/>
      <c r="H135" s="112"/>
      <c r="I135" s="6"/>
      <c r="L135" s="115"/>
      <c r="M135" s="117"/>
      <c r="N135"/>
    </row>
    <row r="136" spans="1:14" ht="20" thickTop="1" thickBot="1" x14ac:dyDescent="0.35">
      <c r="A136" s="122"/>
      <c r="B136" s="1" t="s">
        <v>7</v>
      </c>
      <c r="E136" s="3"/>
      <c r="F136" s="3"/>
      <c r="G136" s="7"/>
      <c r="L136" s="8"/>
      <c r="M136" s="67"/>
      <c r="N136"/>
    </row>
    <row r="137" spans="1:14" ht="19" thickTop="1" x14ac:dyDescent="0.3">
      <c r="A137" s="122"/>
      <c r="B137" s="9"/>
      <c r="C137" s="9"/>
      <c r="D137" s="10" t="str">
        <f t="shared" ref="D137:F150" si="20">D94</f>
        <v>Les Petite Gâteries</v>
      </c>
      <c r="E137" s="11"/>
      <c r="F137" s="11"/>
      <c r="G137" s="12"/>
      <c r="H137" s="9"/>
      <c r="I137" s="9"/>
      <c r="J137" s="9"/>
      <c r="K137" s="9"/>
      <c r="L137" s="13"/>
      <c r="M137" s="97"/>
      <c r="N137"/>
    </row>
    <row r="138" spans="1:14" ht="18" x14ac:dyDescent="0.3">
      <c r="A138" s="122"/>
      <c r="B138" s="9">
        <f t="shared" ref="B138:C149" si="21">B95</f>
        <v>1</v>
      </c>
      <c r="C138" s="9">
        <f t="shared" si="21"/>
        <v>1</v>
      </c>
      <c r="D138" s="9" t="str">
        <f t="shared" si="20"/>
        <v>Petite Gâterie 1</v>
      </c>
      <c r="E138" s="93">
        <f t="shared" si="20"/>
        <v>1.21</v>
      </c>
      <c r="F138" s="68">
        <v>3.3</v>
      </c>
      <c r="G138" s="17">
        <f t="shared" ref="G138:G150" si="22">E138/F138</f>
        <v>0.3666666666666667</v>
      </c>
      <c r="H138" s="18">
        <f t="shared" ref="H138:H150" si="23">F138-E138</f>
        <v>2.09</v>
      </c>
      <c r="I138" s="11">
        <f>F138</f>
        <v>3.3</v>
      </c>
      <c r="J138" s="106">
        <f>3/12</f>
        <v>0.25</v>
      </c>
      <c r="K138" s="19"/>
      <c r="L138" s="20"/>
      <c r="M138" s="54"/>
      <c r="N138"/>
    </row>
    <row r="139" spans="1:14" ht="18" x14ac:dyDescent="0.3">
      <c r="A139" s="122"/>
      <c r="B139" s="9">
        <f t="shared" si="21"/>
        <v>2</v>
      </c>
      <c r="C139" s="9">
        <f t="shared" si="21"/>
        <v>2</v>
      </c>
      <c r="D139" s="9" t="str">
        <f t="shared" si="20"/>
        <v>Petite Gâterie 2</v>
      </c>
      <c r="E139" s="93">
        <f t="shared" si="20"/>
        <v>1.31</v>
      </c>
      <c r="F139" s="68">
        <f t="shared" si="20"/>
        <v>3.8</v>
      </c>
      <c r="G139" s="17">
        <f t="shared" si="22"/>
        <v>0.34473684210526317</v>
      </c>
      <c r="H139" s="18">
        <f t="shared" si="23"/>
        <v>2.4899999999999998</v>
      </c>
      <c r="I139" s="11"/>
      <c r="J139" s="103"/>
      <c r="K139" s="22"/>
      <c r="L139" s="23"/>
      <c r="M139" s="54"/>
      <c r="N139"/>
    </row>
    <row r="140" spans="1:14" ht="19" thickBot="1" x14ac:dyDescent="0.35">
      <c r="A140" s="122"/>
      <c r="B140" s="24">
        <f t="shared" si="21"/>
        <v>3</v>
      </c>
      <c r="C140" s="24">
        <f t="shared" si="21"/>
        <v>3</v>
      </c>
      <c r="D140" s="24" t="str">
        <f t="shared" si="20"/>
        <v>Petite Gâterie 3</v>
      </c>
      <c r="E140" s="94">
        <f t="shared" si="20"/>
        <v>1.35</v>
      </c>
      <c r="F140" s="88">
        <f t="shared" si="20"/>
        <v>4</v>
      </c>
      <c r="G140" s="26">
        <f t="shared" si="22"/>
        <v>0.33750000000000002</v>
      </c>
      <c r="H140" s="27">
        <f t="shared" si="23"/>
        <v>2.65</v>
      </c>
      <c r="I140" s="28">
        <f>+I138+1.066667</f>
        <v>4.3666669999999996</v>
      </c>
      <c r="J140" s="107"/>
      <c r="K140" s="22"/>
      <c r="L140" s="23"/>
      <c r="M140" s="54"/>
      <c r="N140"/>
    </row>
    <row r="141" spans="1:14" ht="18" x14ac:dyDescent="0.3">
      <c r="A141" s="122"/>
      <c r="B141" s="9">
        <f t="shared" si="21"/>
        <v>4</v>
      </c>
      <c r="C141" s="9">
        <f t="shared" si="21"/>
        <v>4</v>
      </c>
      <c r="D141" s="9" t="str">
        <f t="shared" si="20"/>
        <v>Petite Gâterie 4</v>
      </c>
      <c r="E141" s="93">
        <f t="shared" si="20"/>
        <v>1.4</v>
      </c>
      <c r="F141" s="68">
        <f t="shared" si="20"/>
        <v>4.5</v>
      </c>
      <c r="G141" s="17">
        <f t="shared" si="22"/>
        <v>0.31111111111111112</v>
      </c>
      <c r="H141" s="18">
        <f t="shared" si="23"/>
        <v>3.1</v>
      </c>
      <c r="I141" s="11">
        <f>+I140+0.01</f>
        <v>4.3766669999999994</v>
      </c>
      <c r="J141" s="102">
        <f>7/12</f>
        <v>0.58333333333333337</v>
      </c>
      <c r="K141" s="19"/>
      <c r="L141" s="23"/>
      <c r="M141" s="54"/>
      <c r="N141"/>
    </row>
    <row r="142" spans="1:14" ht="18" x14ac:dyDescent="0.3">
      <c r="A142" s="122"/>
      <c r="B142" s="9">
        <f t="shared" si="21"/>
        <v>5</v>
      </c>
      <c r="C142" s="9">
        <f t="shared" si="21"/>
        <v>5</v>
      </c>
      <c r="D142" s="9" t="str">
        <f t="shared" si="20"/>
        <v>Petite Gâterie 5</v>
      </c>
      <c r="E142" s="93">
        <f t="shared" si="20"/>
        <v>1.24</v>
      </c>
      <c r="F142" s="68">
        <f t="shared" si="20"/>
        <v>4.5999999999999996</v>
      </c>
      <c r="G142" s="17">
        <f t="shared" si="22"/>
        <v>0.26956521739130435</v>
      </c>
      <c r="H142" s="18">
        <f t="shared" si="23"/>
        <v>3.3599999999999994</v>
      </c>
      <c r="I142" s="11"/>
      <c r="J142" s="103"/>
      <c r="K142" s="22"/>
      <c r="L142" s="23"/>
      <c r="M142" s="54"/>
      <c r="N142"/>
    </row>
    <row r="143" spans="1:14" ht="18" x14ac:dyDescent="0.3">
      <c r="A143" s="122"/>
      <c r="B143" s="9">
        <f t="shared" si="21"/>
        <v>6</v>
      </c>
      <c r="C143" s="9">
        <f t="shared" si="21"/>
        <v>6</v>
      </c>
      <c r="D143" s="9" t="str">
        <f t="shared" si="20"/>
        <v>Petite Gâterie 6</v>
      </c>
      <c r="E143" s="93">
        <f t="shared" si="20"/>
        <v>1.39</v>
      </c>
      <c r="F143" s="68">
        <f t="shared" si="20"/>
        <v>4.7</v>
      </c>
      <c r="G143" s="17">
        <f t="shared" si="22"/>
        <v>0.29574468085106381</v>
      </c>
      <c r="H143" s="18">
        <f t="shared" si="23"/>
        <v>3.3100000000000005</v>
      </c>
      <c r="I143" s="11"/>
      <c r="J143" s="103"/>
      <c r="K143" s="22"/>
      <c r="L143" s="23"/>
      <c r="M143" s="54"/>
      <c r="N143"/>
    </row>
    <row r="144" spans="1:14" ht="18" x14ac:dyDescent="0.3">
      <c r="A144" s="122"/>
      <c r="B144" s="9">
        <f t="shared" si="21"/>
        <v>7</v>
      </c>
      <c r="C144" s="9">
        <f t="shared" si="21"/>
        <v>7</v>
      </c>
      <c r="D144" s="9" t="str">
        <f t="shared" si="20"/>
        <v>Petite Gâterie 7</v>
      </c>
      <c r="E144" s="93">
        <f t="shared" si="20"/>
        <v>1.51</v>
      </c>
      <c r="F144" s="68">
        <f t="shared" si="20"/>
        <v>4.8</v>
      </c>
      <c r="G144" s="17">
        <f t="shared" si="22"/>
        <v>0.31458333333333333</v>
      </c>
      <c r="H144" s="18">
        <f t="shared" si="23"/>
        <v>3.29</v>
      </c>
      <c r="I144" s="11"/>
      <c r="J144" s="103"/>
      <c r="K144" s="22"/>
      <c r="L144" s="23"/>
      <c r="M144" s="54"/>
      <c r="N144"/>
    </row>
    <row r="145" spans="1:14" ht="18" x14ac:dyDescent="0.3">
      <c r="A145" s="122"/>
      <c r="B145" s="9">
        <f t="shared" si="21"/>
        <v>8</v>
      </c>
      <c r="C145" s="9">
        <f t="shared" si="21"/>
        <v>8</v>
      </c>
      <c r="D145" s="9" t="str">
        <f t="shared" si="20"/>
        <v>Petite Gâterie 8</v>
      </c>
      <c r="E145" s="93">
        <f t="shared" si="20"/>
        <v>1.53</v>
      </c>
      <c r="F145" s="68">
        <f t="shared" si="20"/>
        <v>4.9000000000000004</v>
      </c>
      <c r="G145" s="17">
        <f t="shared" si="22"/>
        <v>0.31224489795918364</v>
      </c>
      <c r="H145" s="18">
        <f t="shared" si="23"/>
        <v>3.37</v>
      </c>
      <c r="I145" s="11"/>
      <c r="J145" s="103"/>
      <c r="K145" s="22"/>
      <c r="L145" s="23"/>
      <c r="M145" s="54"/>
      <c r="N145"/>
    </row>
    <row r="146" spans="1:14" ht="18" x14ac:dyDescent="0.3">
      <c r="A146" s="122"/>
      <c r="B146" s="9">
        <f t="shared" si="21"/>
        <v>9</v>
      </c>
      <c r="C146" s="9">
        <f t="shared" si="21"/>
        <v>9</v>
      </c>
      <c r="D146" s="9" t="str">
        <f t="shared" si="20"/>
        <v>Petite Gâterie 9</v>
      </c>
      <c r="E146" s="93">
        <f t="shared" si="20"/>
        <v>1.55</v>
      </c>
      <c r="F146" s="68">
        <f t="shared" si="20"/>
        <v>5</v>
      </c>
      <c r="G146" s="17">
        <f t="shared" si="22"/>
        <v>0.31</v>
      </c>
      <c r="H146" s="18">
        <f t="shared" si="23"/>
        <v>3.45</v>
      </c>
      <c r="I146" s="11"/>
      <c r="J146" s="103"/>
      <c r="K146" s="22"/>
      <c r="L146" s="23"/>
      <c r="M146" s="54"/>
      <c r="N146"/>
    </row>
    <row r="147" spans="1:14" ht="19" thickBot="1" x14ac:dyDescent="0.35">
      <c r="A147" s="122"/>
      <c r="B147" s="24">
        <f t="shared" si="21"/>
        <v>10</v>
      </c>
      <c r="C147" s="24">
        <f t="shared" si="21"/>
        <v>10</v>
      </c>
      <c r="D147" s="24" t="str">
        <f t="shared" si="20"/>
        <v>Petite Gâterie 10</v>
      </c>
      <c r="E147" s="94">
        <f t="shared" si="20"/>
        <v>1.59</v>
      </c>
      <c r="F147" s="88">
        <f t="shared" si="20"/>
        <v>5.2</v>
      </c>
      <c r="G147" s="26">
        <f t="shared" si="22"/>
        <v>0.30576923076923079</v>
      </c>
      <c r="H147" s="27">
        <f t="shared" si="23"/>
        <v>3.6100000000000003</v>
      </c>
      <c r="I147" s="28">
        <f>+I140+1.066667</f>
        <v>5.4333339999999994</v>
      </c>
      <c r="J147" s="107"/>
      <c r="K147" s="22"/>
      <c r="L147" s="23"/>
      <c r="M147" s="54"/>
      <c r="N147"/>
    </row>
    <row r="148" spans="1:14" ht="18" x14ac:dyDescent="0.3">
      <c r="A148" s="122"/>
      <c r="B148" s="9">
        <f t="shared" si="21"/>
        <v>11</v>
      </c>
      <c r="C148" s="9">
        <f t="shared" si="21"/>
        <v>11</v>
      </c>
      <c r="D148" s="9" t="str">
        <f t="shared" si="20"/>
        <v>Petite Gâterie 11</v>
      </c>
      <c r="E148" s="93">
        <f t="shared" si="20"/>
        <v>1.83</v>
      </c>
      <c r="F148" s="68">
        <f t="shared" si="20"/>
        <v>6.4</v>
      </c>
      <c r="G148" s="17">
        <f t="shared" si="22"/>
        <v>0.28593750000000001</v>
      </c>
      <c r="H148" s="18">
        <f t="shared" si="23"/>
        <v>4.57</v>
      </c>
      <c r="I148" s="11">
        <f>+I147+0.01</f>
        <v>5.4433339999999992</v>
      </c>
      <c r="J148" s="102">
        <f>2/12</f>
        <v>0.16666666666666666</v>
      </c>
      <c r="K148" s="19"/>
      <c r="L148" s="23"/>
      <c r="M148" s="54"/>
      <c r="N148"/>
    </row>
    <row r="149" spans="1:14" ht="18" x14ac:dyDescent="0.3">
      <c r="A149" s="122"/>
      <c r="B149" s="9">
        <f t="shared" si="21"/>
        <v>12</v>
      </c>
      <c r="C149" s="9">
        <f t="shared" si="21"/>
        <v>12</v>
      </c>
      <c r="D149" s="9" t="str">
        <f t="shared" si="20"/>
        <v>Petite Gâterie 12</v>
      </c>
      <c r="E149" s="93">
        <f t="shared" si="20"/>
        <v>1.87</v>
      </c>
      <c r="F149" s="68">
        <f t="shared" si="20"/>
        <v>6.6</v>
      </c>
      <c r="G149" s="17">
        <f t="shared" si="22"/>
        <v>0.28333333333333338</v>
      </c>
      <c r="H149" s="18">
        <f t="shared" si="23"/>
        <v>4.7299999999999995</v>
      </c>
      <c r="I149" s="11">
        <f>F149</f>
        <v>6.6</v>
      </c>
      <c r="J149" s="103"/>
      <c r="K149" s="22"/>
      <c r="L149" s="23"/>
      <c r="M149" s="54"/>
      <c r="N149"/>
    </row>
    <row r="150" spans="1:14" ht="19" x14ac:dyDescent="0.35">
      <c r="A150" s="122"/>
      <c r="B150" s="9"/>
      <c r="C150" s="9"/>
      <c r="D150" s="10" t="str">
        <f t="shared" si="20"/>
        <v>CmO—PmO—Food Cost—BmO</v>
      </c>
      <c r="E150" s="29">
        <f>SUM(E138:E149)/C149</f>
        <v>1.4816666666666667</v>
      </c>
      <c r="F150" s="89">
        <f>SUM(F138:F149)/C149</f>
        <v>4.8166666666666673</v>
      </c>
      <c r="G150" s="31">
        <f t="shared" si="22"/>
        <v>0.30761245674740478</v>
      </c>
      <c r="H150" s="32">
        <f t="shared" si="23"/>
        <v>3.3350000000000009</v>
      </c>
      <c r="I150" s="33"/>
      <c r="J150" s="9"/>
      <c r="K150" s="9"/>
      <c r="L150" s="91">
        <v>1</v>
      </c>
      <c r="M150" s="54">
        <f>$M$21</f>
        <v>196</v>
      </c>
      <c r="N150"/>
    </row>
    <row r="151" spans="1:14" ht="18" x14ac:dyDescent="0.3">
      <c r="A151" s="122"/>
      <c r="B151" s="9" t="s">
        <v>7</v>
      </c>
      <c r="C151" s="9"/>
      <c r="D151" s="9"/>
      <c r="E151" s="15"/>
      <c r="F151" s="90"/>
      <c r="G151" s="17"/>
      <c r="H151" s="35"/>
      <c r="I151" s="11"/>
      <c r="J151" s="9"/>
      <c r="K151" s="9"/>
      <c r="L151" s="23"/>
      <c r="M151" s="54"/>
      <c r="N151"/>
    </row>
    <row r="152" spans="1:14" ht="18" x14ac:dyDescent="0.3">
      <c r="A152" s="122"/>
      <c r="B152" s="9"/>
      <c r="C152" s="9"/>
      <c r="D152" s="10" t="str">
        <f t="shared" ref="D152:F165" si="24">D109</f>
        <v>Les Boissons  Gâteries</v>
      </c>
      <c r="E152" s="15"/>
      <c r="F152" s="90"/>
      <c r="G152" s="17"/>
      <c r="H152" s="35"/>
      <c r="I152" s="11"/>
      <c r="J152" s="9"/>
      <c r="K152" s="9"/>
      <c r="L152" s="23"/>
      <c r="M152" s="54"/>
      <c r="N152"/>
    </row>
    <row r="153" spans="1:14" ht="18" x14ac:dyDescent="0.3">
      <c r="A153" s="122"/>
      <c r="B153" s="9">
        <f t="shared" ref="B153:C164" si="25">B110</f>
        <v>13</v>
      </c>
      <c r="C153" s="9">
        <f t="shared" si="25"/>
        <v>1</v>
      </c>
      <c r="D153" s="9" t="str">
        <f t="shared" si="24"/>
        <v>Boisson spécial numéro 1</v>
      </c>
      <c r="E153" s="93">
        <f t="shared" si="24"/>
        <v>2.2799999999999998</v>
      </c>
      <c r="F153" s="68">
        <f>F110</f>
        <v>6.6</v>
      </c>
      <c r="G153" s="17">
        <f>E153/F153</f>
        <v>0.34545454545454546</v>
      </c>
      <c r="H153" s="18">
        <f>F153-E153</f>
        <v>4.32</v>
      </c>
      <c r="I153" s="11">
        <f>F153</f>
        <v>6.6</v>
      </c>
      <c r="J153" s="106">
        <f>3/12</f>
        <v>0.25</v>
      </c>
      <c r="K153" s="19"/>
      <c r="L153" s="23"/>
      <c r="M153" s="54"/>
      <c r="N153"/>
    </row>
    <row r="154" spans="1:14" ht="18" x14ac:dyDescent="0.3">
      <c r="A154" s="122"/>
      <c r="B154" s="9">
        <f t="shared" si="25"/>
        <v>14</v>
      </c>
      <c r="C154" s="9">
        <f t="shared" si="25"/>
        <v>2</v>
      </c>
      <c r="D154" s="9" t="str">
        <f t="shared" si="24"/>
        <v>Boisson spécial numéro 2</v>
      </c>
      <c r="E154" s="93">
        <f t="shared" si="24"/>
        <v>2.66</v>
      </c>
      <c r="F154" s="68">
        <f t="shared" si="24"/>
        <v>7.6</v>
      </c>
      <c r="G154" s="17">
        <f>E154/F154</f>
        <v>0.35000000000000003</v>
      </c>
      <c r="H154" s="18">
        <f>F154-E154</f>
        <v>4.9399999999999995</v>
      </c>
      <c r="I154" s="11"/>
      <c r="J154" s="103"/>
      <c r="K154" s="22"/>
      <c r="L154" s="23"/>
      <c r="M154" s="54"/>
      <c r="N154"/>
    </row>
    <row r="155" spans="1:14" ht="19" thickBot="1" x14ac:dyDescent="0.35">
      <c r="A155" s="122"/>
      <c r="B155" s="24">
        <f t="shared" si="25"/>
        <v>15</v>
      </c>
      <c r="C155" s="24">
        <f t="shared" si="25"/>
        <v>3</v>
      </c>
      <c r="D155" s="24" t="str">
        <f t="shared" si="24"/>
        <v>Boisson spécial numéro 3</v>
      </c>
      <c r="E155" s="94">
        <f t="shared" si="24"/>
        <v>2.74</v>
      </c>
      <c r="F155" s="88">
        <f t="shared" si="24"/>
        <v>8</v>
      </c>
      <c r="G155" s="26">
        <f>E155/F155</f>
        <v>0.34250000000000003</v>
      </c>
      <c r="H155" s="27">
        <f>F155-E155</f>
        <v>5.26</v>
      </c>
      <c r="I155" s="28">
        <f>+I153+2.166667</f>
        <v>8.766667</v>
      </c>
      <c r="J155" s="107"/>
      <c r="K155" s="22"/>
      <c r="L155" s="23"/>
      <c r="M155" s="54"/>
      <c r="N155"/>
    </row>
    <row r="156" spans="1:14" ht="18" x14ac:dyDescent="0.3">
      <c r="A156" s="122"/>
      <c r="B156" s="9">
        <f t="shared" si="25"/>
        <v>16</v>
      </c>
      <c r="C156" s="9">
        <f t="shared" si="25"/>
        <v>4</v>
      </c>
      <c r="D156" s="9" t="str">
        <f t="shared" si="24"/>
        <v>Boisson spécial numéro 4</v>
      </c>
      <c r="E156" s="93">
        <f t="shared" si="24"/>
        <v>2.72</v>
      </c>
      <c r="F156" s="68">
        <f t="shared" si="24"/>
        <v>9</v>
      </c>
      <c r="G156" s="17">
        <f t="shared" ref="G156:G163" si="26">E156/F156</f>
        <v>0.30222222222222223</v>
      </c>
      <c r="H156" s="18">
        <f t="shared" ref="H156:H163" si="27">F156-E156</f>
        <v>6.2799999999999994</v>
      </c>
      <c r="I156" s="11">
        <f>+I155+0.01</f>
        <v>8.7766669999999998</v>
      </c>
      <c r="J156" s="102">
        <f>7/12</f>
        <v>0.58333333333333337</v>
      </c>
      <c r="K156" s="19"/>
      <c r="L156" s="23"/>
      <c r="M156" s="54"/>
      <c r="N156"/>
    </row>
    <row r="157" spans="1:14" ht="18" x14ac:dyDescent="0.3">
      <c r="A157" s="122"/>
      <c r="B157" s="9">
        <f t="shared" si="25"/>
        <v>17</v>
      </c>
      <c r="C157" s="9">
        <f t="shared" si="25"/>
        <v>5</v>
      </c>
      <c r="D157" s="9" t="str">
        <f t="shared" si="24"/>
        <v>Boisson spécial numéro 5</v>
      </c>
      <c r="E157" s="93">
        <f t="shared" si="24"/>
        <v>2.76</v>
      </c>
      <c r="F157" s="68">
        <f t="shared" si="24"/>
        <v>9.1999999999999993</v>
      </c>
      <c r="G157" s="17">
        <f t="shared" si="26"/>
        <v>0.3</v>
      </c>
      <c r="H157" s="18">
        <f t="shared" si="27"/>
        <v>6.4399999999999995</v>
      </c>
      <c r="I157" s="11"/>
      <c r="J157" s="103"/>
      <c r="K157" s="22"/>
      <c r="L157" s="23"/>
      <c r="M157" s="54"/>
      <c r="N157"/>
    </row>
    <row r="158" spans="1:14" ht="18" x14ac:dyDescent="0.3">
      <c r="A158" s="122"/>
      <c r="B158" s="9">
        <f t="shared" si="25"/>
        <v>18</v>
      </c>
      <c r="C158" s="9">
        <f t="shared" si="25"/>
        <v>6</v>
      </c>
      <c r="D158" s="9" t="str">
        <f t="shared" si="24"/>
        <v>Boisson spécial numéro 6</v>
      </c>
      <c r="E158" s="93">
        <f t="shared" si="24"/>
        <v>2.8</v>
      </c>
      <c r="F158" s="68">
        <f t="shared" si="24"/>
        <v>9.4</v>
      </c>
      <c r="G158" s="17">
        <f t="shared" si="26"/>
        <v>0.2978723404255319</v>
      </c>
      <c r="H158" s="18">
        <f t="shared" si="27"/>
        <v>6.6000000000000005</v>
      </c>
      <c r="I158" s="11"/>
      <c r="J158" s="103"/>
      <c r="K158" s="22"/>
      <c r="L158" s="23"/>
      <c r="M158" s="54"/>
      <c r="N158"/>
    </row>
    <row r="159" spans="1:14" ht="18" x14ac:dyDescent="0.3">
      <c r="A159" s="122"/>
      <c r="B159" s="9">
        <f t="shared" si="25"/>
        <v>19</v>
      </c>
      <c r="C159" s="9">
        <f t="shared" si="25"/>
        <v>7</v>
      </c>
      <c r="D159" s="9" t="str">
        <f t="shared" si="24"/>
        <v>Boisson spécial numéro 7</v>
      </c>
      <c r="E159" s="93">
        <f t="shared" si="24"/>
        <v>2.82</v>
      </c>
      <c r="F159" s="68">
        <f t="shared" si="24"/>
        <v>9.6</v>
      </c>
      <c r="G159" s="17">
        <f t="shared" si="26"/>
        <v>0.29375000000000001</v>
      </c>
      <c r="H159" s="18">
        <f t="shared" si="27"/>
        <v>6.7799999999999994</v>
      </c>
      <c r="I159" s="11"/>
      <c r="J159" s="103"/>
      <c r="K159" s="22"/>
      <c r="L159" s="23"/>
      <c r="M159" s="54"/>
      <c r="N159"/>
    </row>
    <row r="160" spans="1:14" ht="18" x14ac:dyDescent="0.3">
      <c r="A160" s="122"/>
      <c r="B160" s="9">
        <f t="shared" si="25"/>
        <v>20</v>
      </c>
      <c r="C160" s="9">
        <f t="shared" si="25"/>
        <v>8</v>
      </c>
      <c r="D160" s="9" t="str">
        <f t="shared" si="24"/>
        <v>Boisson spécial numéro 8</v>
      </c>
      <c r="E160" s="93">
        <f t="shared" si="24"/>
        <v>2.86</v>
      </c>
      <c r="F160" s="68">
        <f t="shared" si="24"/>
        <v>9.8000000000000007</v>
      </c>
      <c r="G160" s="17">
        <f t="shared" si="26"/>
        <v>0.2918367346938775</v>
      </c>
      <c r="H160" s="18">
        <f t="shared" si="27"/>
        <v>6.9400000000000013</v>
      </c>
      <c r="I160" s="11"/>
      <c r="J160" s="103"/>
      <c r="K160" s="22"/>
      <c r="L160" s="23"/>
      <c r="M160" s="54"/>
      <c r="N160"/>
    </row>
    <row r="161" spans="1:14" ht="18" x14ac:dyDescent="0.3">
      <c r="A161" s="122"/>
      <c r="B161" s="9">
        <f t="shared" si="25"/>
        <v>21</v>
      </c>
      <c r="C161" s="9">
        <f t="shared" si="25"/>
        <v>9</v>
      </c>
      <c r="D161" s="9" t="str">
        <f t="shared" si="24"/>
        <v>Boisson spécial numéro 9</v>
      </c>
      <c r="E161" s="93">
        <f t="shared" si="24"/>
        <v>2.9</v>
      </c>
      <c r="F161" s="68">
        <f t="shared" si="24"/>
        <v>10</v>
      </c>
      <c r="G161" s="17">
        <f t="shared" si="26"/>
        <v>0.28999999999999998</v>
      </c>
      <c r="H161" s="18">
        <f t="shared" si="27"/>
        <v>7.1</v>
      </c>
      <c r="I161" s="11"/>
      <c r="J161" s="103"/>
      <c r="K161" s="22"/>
      <c r="L161" s="23"/>
      <c r="M161" s="54"/>
      <c r="N161"/>
    </row>
    <row r="162" spans="1:14" ht="19" thickBot="1" x14ac:dyDescent="0.35">
      <c r="A162" s="122"/>
      <c r="B162" s="24">
        <f t="shared" si="25"/>
        <v>22</v>
      </c>
      <c r="C162" s="24">
        <f t="shared" si="25"/>
        <v>10</v>
      </c>
      <c r="D162" s="24" t="str">
        <f t="shared" si="24"/>
        <v>Boisson spécial numéro 10</v>
      </c>
      <c r="E162" s="94">
        <f t="shared" si="24"/>
        <v>2.98</v>
      </c>
      <c r="F162" s="88">
        <f t="shared" si="24"/>
        <v>10.4</v>
      </c>
      <c r="G162" s="26">
        <f t="shared" si="26"/>
        <v>0.28653846153846152</v>
      </c>
      <c r="H162" s="27">
        <f t="shared" si="27"/>
        <v>7.42</v>
      </c>
      <c r="I162" s="28">
        <f>+I155+2.166667</f>
        <v>10.933334</v>
      </c>
      <c r="J162" s="107"/>
      <c r="K162" s="22"/>
      <c r="L162" s="23"/>
      <c r="M162" s="54"/>
      <c r="N162"/>
    </row>
    <row r="163" spans="1:14" ht="18" x14ac:dyDescent="0.3">
      <c r="A163" s="122"/>
      <c r="B163" s="9">
        <f t="shared" si="25"/>
        <v>23</v>
      </c>
      <c r="C163" s="9">
        <f t="shared" si="25"/>
        <v>11</v>
      </c>
      <c r="D163" s="9" t="str">
        <f t="shared" si="24"/>
        <v>Boisson spécial numéro 11</v>
      </c>
      <c r="E163" s="93">
        <f t="shared" si="24"/>
        <v>3.18</v>
      </c>
      <c r="F163" s="68">
        <f t="shared" si="24"/>
        <v>11.6</v>
      </c>
      <c r="G163" s="17">
        <f t="shared" si="26"/>
        <v>0.27413793103448281</v>
      </c>
      <c r="H163" s="18">
        <f t="shared" si="27"/>
        <v>8.42</v>
      </c>
      <c r="I163" s="11">
        <f>+I162+0.01</f>
        <v>10.943334</v>
      </c>
      <c r="J163" s="102">
        <f>2/12</f>
        <v>0.16666666666666666</v>
      </c>
      <c r="K163" s="19"/>
      <c r="L163" s="23"/>
      <c r="M163" s="54"/>
      <c r="N163"/>
    </row>
    <row r="164" spans="1:14" ht="18" x14ac:dyDescent="0.3">
      <c r="A164" s="122"/>
      <c r="B164" s="9">
        <f t="shared" si="25"/>
        <v>24</v>
      </c>
      <c r="C164" s="9">
        <f t="shared" si="25"/>
        <v>12</v>
      </c>
      <c r="D164" s="9" t="str">
        <f t="shared" si="24"/>
        <v>Boisson spécial numéro 12</v>
      </c>
      <c r="E164" s="93">
        <f t="shared" si="24"/>
        <v>3.48</v>
      </c>
      <c r="F164" s="16">
        <f t="shared" si="24"/>
        <v>13.2</v>
      </c>
      <c r="G164" s="17">
        <f>E164/F164</f>
        <v>0.26363636363636367</v>
      </c>
      <c r="H164" s="18">
        <f>F164-E164</f>
        <v>9.7199999999999989</v>
      </c>
      <c r="I164" s="11">
        <f>F164</f>
        <v>13.2</v>
      </c>
      <c r="J164" s="103"/>
      <c r="K164" s="22"/>
      <c r="L164" s="23"/>
      <c r="M164" s="54"/>
      <c r="N164"/>
    </row>
    <row r="165" spans="1:14" ht="19" x14ac:dyDescent="0.35">
      <c r="A165" s="122"/>
      <c r="B165" s="9"/>
      <c r="C165" s="9"/>
      <c r="D165" s="10" t="str">
        <f t="shared" si="24"/>
        <v>CmO—PmO—Beverage Cost—Marge brute</v>
      </c>
      <c r="E165" s="29">
        <f>SUM(E153:E164)/C164</f>
        <v>2.8483333333333332</v>
      </c>
      <c r="F165" s="29">
        <f>SUM(F153:F164)/C164</f>
        <v>9.5333333333333332</v>
      </c>
      <c r="G165" s="36">
        <f>E165/F165</f>
        <v>0.29877622377622376</v>
      </c>
      <c r="H165" s="32">
        <f>F165-E165</f>
        <v>6.6850000000000005</v>
      </c>
      <c r="I165" s="33"/>
      <c r="J165" s="9"/>
      <c r="K165" s="9"/>
      <c r="L165" s="91">
        <v>1</v>
      </c>
      <c r="M165" s="54">
        <f>$M$21</f>
        <v>196</v>
      </c>
      <c r="N165"/>
    </row>
    <row r="166" spans="1:14" ht="19" thickBot="1" x14ac:dyDescent="0.35">
      <c r="A166" s="122"/>
      <c r="B166" s="9"/>
      <c r="C166" s="9"/>
      <c r="D166" s="9"/>
      <c r="E166" s="15"/>
      <c r="F166" s="15"/>
      <c r="G166" s="12"/>
      <c r="H166" s="35"/>
      <c r="I166" s="9"/>
      <c r="J166" s="9"/>
      <c r="K166" s="9"/>
      <c r="L166" s="23"/>
      <c r="M166" s="54"/>
      <c r="N166"/>
    </row>
    <row r="167" spans="1:14" ht="21" thickTop="1" thickBot="1" x14ac:dyDescent="0.4">
      <c r="A167" s="122"/>
      <c r="B167" s="9"/>
      <c r="C167" s="37"/>
      <c r="D167" s="38"/>
      <c r="E167" s="39"/>
      <c r="F167" s="39"/>
      <c r="G167" s="40"/>
      <c r="H167" s="41"/>
      <c r="I167" s="42"/>
      <c r="J167" s="9"/>
      <c r="K167" s="9"/>
      <c r="L167" s="23"/>
      <c r="M167" s="54"/>
      <c r="N167"/>
    </row>
    <row r="168" spans="1:14" ht="20" thickTop="1" thickBot="1" x14ac:dyDescent="0.35">
      <c r="A168" s="122"/>
      <c r="B168" s="9"/>
      <c r="C168" s="44"/>
      <c r="D168" s="10"/>
      <c r="E168" s="45" t="str">
        <f>E125</f>
        <v>CmO</v>
      </c>
      <c r="F168" s="45" t="str">
        <f>F125</f>
        <v>PmO</v>
      </c>
      <c r="G168" s="46" t="str">
        <f>G125</f>
        <v>F&amp;BCmO</v>
      </c>
      <c r="H168" s="47" t="str">
        <f>H125</f>
        <v>BmO</v>
      </c>
      <c r="I168" s="48"/>
      <c r="J168" s="9"/>
      <c r="K168" s="9"/>
      <c r="L168" s="23"/>
      <c r="M168" s="54"/>
      <c r="N168"/>
    </row>
    <row r="169" spans="1:14" ht="19" thickTop="1" x14ac:dyDescent="0.3">
      <c r="A169" s="122"/>
      <c r="B169" s="9"/>
      <c r="C169" s="44"/>
      <c r="D169" s="49" t="str">
        <f>D126</f>
        <v>OFFRE TOTALE AVEC LES GÂTERIES ET LES CAFÉS GÂTERIES</v>
      </c>
      <c r="E169" s="15"/>
      <c r="F169" s="15"/>
      <c r="G169" s="12"/>
      <c r="H169" s="35"/>
      <c r="I169" s="50"/>
      <c r="J169" s="9"/>
      <c r="K169" s="9"/>
      <c r="L169" s="23"/>
      <c r="M169" s="54"/>
      <c r="N169"/>
    </row>
    <row r="170" spans="1:14" ht="19" x14ac:dyDescent="0.35">
      <c r="A170" s="122"/>
      <c r="B170" s="9"/>
      <c r="C170" s="44"/>
      <c r="D170" s="10" t="str">
        <f>D127</f>
        <v>CmO—PmO—F&amp;B cost moyen offert—Marge brute</v>
      </c>
      <c r="E170" s="30">
        <f>+(E138+E139+E140+E141+E142+E143+E144+E145+E146+E147+E148+E149+E153+E154+E155+E156+E157+E158+E159+E160+E161+E162+E163+E164)/B164</f>
        <v>2.1649999999999996</v>
      </c>
      <c r="F170" s="30">
        <f>+(F138+F139+F140+F141+F142+F143+F144+F145+F146+F147+F148+F149+F153+F154+F155+F156+F157+F158+F159+F160+F161+F162+F163+F164)/B164</f>
        <v>7.1749999999999998</v>
      </c>
      <c r="G170" s="51">
        <f>E170/F170</f>
        <v>0.30174216027874562</v>
      </c>
      <c r="H170" s="52">
        <f>F170-E170</f>
        <v>5.01</v>
      </c>
      <c r="I170" s="53"/>
      <c r="J170" s="9"/>
      <c r="K170" s="9"/>
      <c r="L170" s="23">
        <f>L127</f>
        <v>2</v>
      </c>
      <c r="M170" s="54">
        <f>$M$21</f>
        <v>196</v>
      </c>
      <c r="N170"/>
    </row>
    <row r="171" spans="1:14" ht="18" x14ac:dyDescent="0.3">
      <c r="A171" s="122"/>
      <c r="B171" s="9"/>
      <c r="C171" s="44"/>
      <c r="D171" s="9"/>
      <c r="E171" s="55"/>
      <c r="F171" s="55"/>
      <c r="G171" s="56"/>
      <c r="H171" s="57"/>
      <c r="I171" s="58"/>
      <c r="J171" s="9"/>
      <c r="K171" s="9"/>
      <c r="L171" s="23"/>
      <c r="M171" s="54"/>
      <c r="N171"/>
    </row>
    <row r="172" spans="1:14" ht="19" thickBot="1" x14ac:dyDescent="0.35">
      <c r="A172" s="122"/>
      <c r="B172" s="9"/>
      <c r="C172" s="59"/>
      <c r="D172" s="60"/>
      <c r="E172" s="61"/>
      <c r="F172" s="61"/>
      <c r="G172" s="62"/>
      <c r="H172" s="63"/>
      <c r="I172" s="64"/>
      <c r="J172" s="9"/>
      <c r="K172" s="9"/>
      <c r="L172" s="65"/>
      <c r="M172" s="98"/>
      <c r="N172"/>
    </row>
    <row r="173" spans="1:14" ht="19" thickTop="1" x14ac:dyDescent="0.3">
      <c r="A173" s="122"/>
      <c r="L173" s="69"/>
      <c r="M173" s="70"/>
      <c r="N173"/>
    </row>
    <row r="174" spans="1:14" ht="23" x14ac:dyDescent="0.3">
      <c r="A174" s="122"/>
      <c r="D174" s="2" t="s">
        <v>53</v>
      </c>
      <c r="F174" s="3"/>
      <c r="L174" s="69"/>
      <c r="M174" s="70"/>
      <c r="N174"/>
    </row>
    <row r="175" spans="1:14" ht="24" thickBot="1" x14ac:dyDescent="0.35">
      <c r="A175" s="122"/>
      <c r="D175" s="4"/>
      <c r="L175" s="69"/>
      <c r="M175" s="70"/>
      <c r="N175"/>
    </row>
    <row r="176" spans="1:14" ht="23" customHeight="1" thickTop="1" x14ac:dyDescent="0.25">
      <c r="A176" s="122"/>
      <c r="D176" s="4"/>
      <c r="E176" s="108" t="str">
        <f>E133</f>
        <v>Coûts des ressources alimentaires pour chaque produit offert (voir recettes standardisées)</v>
      </c>
      <c r="F176" s="108" t="str">
        <f>F133</f>
        <v>Prix de vente par produit offert</v>
      </c>
      <c r="G176" s="108" t="str">
        <f>G133</f>
        <v xml:space="preserve">« Food &amp; Beverage Cost » </v>
      </c>
      <c r="H176" s="108" t="str">
        <f>H133</f>
        <v>Marge brute gagnée sur la vente de chaque produit offert</v>
      </c>
      <c r="I176" s="5"/>
      <c r="L176" s="113" t="s">
        <v>5</v>
      </c>
      <c r="M176" s="113" t="s">
        <v>6</v>
      </c>
      <c r="N176"/>
    </row>
    <row r="177" spans="1:14" ht="22" x14ac:dyDescent="0.25">
      <c r="A177" s="122"/>
      <c r="D177" s="4"/>
      <c r="E177" s="109"/>
      <c r="F177" s="111"/>
      <c r="G177" s="111"/>
      <c r="H177" s="111"/>
      <c r="I177" s="6"/>
      <c r="L177" s="114"/>
      <c r="M177" s="116"/>
      <c r="N177"/>
    </row>
    <row r="178" spans="1:14" ht="14" customHeight="1" thickBot="1" x14ac:dyDescent="0.25">
      <c r="A178" s="122"/>
      <c r="E178" s="110"/>
      <c r="F178" s="112"/>
      <c r="G178" s="112"/>
      <c r="H178" s="112"/>
      <c r="I178" s="6"/>
      <c r="L178" s="115"/>
      <c r="M178" s="117"/>
      <c r="N178"/>
    </row>
    <row r="179" spans="1:14" ht="20" thickTop="1" thickBot="1" x14ac:dyDescent="0.35">
      <c r="A179" s="122"/>
      <c r="B179" s="1" t="s">
        <v>7</v>
      </c>
      <c r="E179" s="3"/>
      <c r="F179" s="3"/>
      <c r="G179" s="7"/>
      <c r="L179" s="69"/>
      <c r="M179" s="70"/>
      <c r="N179"/>
    </row>
    <row r="180" spans="1:14" ht="19" thickTop="1" x14ac:dyDescent="0.3">
      <c r="A180" s="122"/>
      <c r="B180" s="9"/>
      <c r="C180" s="9"/>
      <c r="D180" s="10" t="str">
        <f t="shared" ref="D180:F193" si="28">D137</f>
        <v>Les Petite Gâteries</v>
      </c>
      <c r="E180" s="11"/>
      <c r="F180" s="11"/>
      <c r="G180" s="12"/>
      <c r="H180" s="9"/>
      <c r="I180" s="9"/>
      <c r="J180" s="9"/>
      <c r="K180" s="9"/>
      <c r="L180" s="13"/>
      <c r="M180" s="97"/>
      <c r="N180"/>
    </row>
    <row r="181" spans="1:14" ht="18" x14ac:dyDescent="0.3">
      <c r="A181" s="122"/>
      <c r="B181" s="9">
        <f t="shared" ref="B181:C192" si="29">B138</f>
        <v>1</v>
      </c>
      <c r="C181" s="9">
        <f t="shared" si="29"/>
        <v>1</v>
      </c>
      <c r="D181" s="9" t="str">
        <f t="shared" si="28"/>
        <v>Petite Gâterie 1</v>
      </c>
      <c r="E181" s="93">
        <f t="shared" si="28"/>
        <v>1.21</v>
      </c>
      <c r="F181" s="16">
        <f t="shared" si="28"/>
        <v>3.3</v>
      </c>
      <c r="G181" s="17">
        <f t="shared" ref="G181:G193" si="30">E181/F181</f>
        <v>0.3666666666666667</v>
      </c>
      <c r="H181" s="18">
        <f t="shared" ref="H181:H193" si="31">F181-E181</f>
        <v>2.09</v>
      </c>
      <c r="I181" s="11"/>
      <c r="J181" s="9"/>
      <c r="K181" s="9"/>
      <c r="L181" s="20"/>
      <c r="M181" s="54"/>
      <c r="N181"/>
    </row>
    <row r="182" spans="1:14" ht="18" x14ac:dyDescent="0.3">
      <c r="A182" s="122"/>
      <c r="B182" s="9">
        <f t="shared" si="29"/>
        <v>2</v>
      </c>
      <c r="C182" s="9">
        <f t="shared" si="29"/>
        <v>2</v>
      </c>
      <c r="D182" s="9" t="str">
        <f t="shared" si="28"/>
        <v>Petite Gâterie 2</v>
      </c>
      <c r="E182" s="93">
        <f t="shared" si="28"/>
        <v>1.31</v>
      </c>
      <c r="F182" s="16">
        <f t="shared" si="28"/>
        <v>3.8</v>
      </c>
      <c r="G182" s="17">
        <f t="shared" si="30"/>
        <v>0.34473684210526317</v>
      </c>
      <c r="H182" s="18">
        <f t="shared" si="31"/>
        <v>2.4899999999999998</v>
      </c>
      <c r="I182" s="11"/>
      <c r="J182" s="9"/>
      <c r="K182" s="9"/>
      <c r="L182" s="23"/>
      <c r="M182" s="54"/>
      <c r="N182"/>
    </row>
    <row r="183" spans="1:14" ht="18" x14ac:dyDescent="0.3">
      <c r="A183" s="122"/>
      <c r="B183" s="9">
        <f t="shared" si="29"/>
        <v>3</v>
      </c>
      <c r="C183" s="9">
        <f t="shared" si="29"/>
        <v>3</v>
      </c>
      <c r="D183" s="9" t="str">
        <f t="shared" si="28"/>
        <v>Petite Gâterie 3</v>
      </c>
      <c r="E183" s="93">
        <f t="shared" si="28"/>
        <v>1.35</v>
      </c>
      <c r="F183" s="16">
        <f t="shared" si="28"/>
        <v>4</v>
      </c>
      <c r="G183" s="17">
        <f t="shared" si="30"/>
        <v>0.33750000000000002</v>
      </c>
      <c r="H183" s="18">
        <f t="shared" si="31"/>
        <v>2.65</v>
      </c>
      <c r="I183" s="11"/>
      <c r="J183" s="9"/>
      <c r="K183" s="9"/>
      <c r="L183" s="23"/>
      <c r="M183" s="54"/>
      <c r="N183"/>
    </row>
    <row r="184" spans="1:14" ht="18" x14ac:dyDescent="0.3">
      <c r="A184" s="122"/>
      <c r="B184" s="9">
        <f t="shared" si="29"/>
        <v>4</v>
      </c>
      <c r="C184" s="9">
        <f t="shared" si="29"/>
        <v>4</v>
      </c>
      <c r="D184" s="9" t="str">
        <f t="shared" si="28"/>
        <v>Petite Gâterie 4</v>
      </c>
      <c r="E184" s="93">
        <f t="shared" si="28"/>
        <v>1.4</v>
      </c>
      <c r="F184" s="16">
        <f t="shared" si="28"/>
        <v>4.5</v>
      </c>
      <c r="G184" s="17">
        <f t="shared" si="30"/>
        <v>0.31111111111111112</v>
      </c>
      <c r="H184" s="18">
        <f t="shared" si="31"/>
        <v>3.1</v>
      </c>
      <c r="I184" s="11"/>
      <c r="J184" s="9"/>
      <c r="K184" s="9"/>
      <c r="L184" s="23"/>
      <c r="M184" s="54"/>
      <c r="N184"/>
    </row>
    <row r="185" spans="1:14" ht="18" x14ac:dyDescent="0.3">
      <c r="A185" s="122"/>
      <c r="B185" s="9">
        <f t="shared" si="29"/>
        <v>5</v>
      </c>
      <c r="C185" s="9">
        <f t="shared" si="29"/>
        <v>5</v>
      </c>
      <c r="D185" s="9" t="str">
        <f t="shared" si="28"/>
        <v>Petite Gâterie 5</v>
      </c>
      <c r="E185" s="93">
        <f t="shared" si="28"/>
        <v>1.24</v>
      </c>
      <c r="F185" s="16">
        <f t="shared" si="28"/>
        <v>4.5999999999999996</v>
      </c>
      <c r="G185" s="17">
        <f t="shared" si="30"/>
        <v>0.26956521739130435</v>
      </c>
      <c r="H185" s="18">
        <f t="shared" si="31"/>
        <v>3.3599999999999994</v>
      </c>
      <c r="I185" s="11"/>
      <c r="J185" s="9"/>
      <c r="K185" s="9"/>
      <c r="L185" s="23"/>
      <c r="M185" s="54"/>
      <c r="N185"/>
    </row>
    <row r="186" spans="1:14" ht="18" x14ac:dyDescent="0.3">
      <c r="A186" s="122"/>
      <c r="B186" s="9">
        <f t="shared" si="29"/>
        <v>6</v>
      </c>
      <c r="C186" s="9">
        <f t="shared" si="29"/>
        <v>6</v>
      </c>
      <c r="D186" s="9" t="str">
        <f t="shared" si="28"/>
        <v>Petite Gâterie 6</v>
      </c>
      <c r="E186" s="93">
        <f t="shared" si="28"/>
        <v>1.39</v>
      </c>
      <c r="F186" s="16">
        <f t="shared" si="28"/>
        <v>4.7</v>
      </c>
      <c r="G186" s="17">
        <f t="shared" si="30"/>
        <v>0.29574468085106381</v>
      </c>
      <c r="H186" s="18">
        <f t="shared" si="31"/>
        <v>3.3100000000000005</v>
      </c>
      <c r="I186" s="11"/>
      <c r="J186" s="9"/>
      <c r="K186" s="9"/>
      <c r="L186" s="23"/>
      <c r="M186" s="54"/>
      <c r="N186"/>
    </row>
    <row r="187" spans="1:14" ht="18" x14ac:dyDescent="0.3">
      <c r="A187" s="122"/>
      <c r="B187" s="9">
        <f t="shared" si="29"/>
        <v>7</v>
      </c>
      <c r="C187" s="9">
        <f t="shared" si="29"/>
        <v>7</v>
      </c>
      <c r="D187" s="9" t="str">
        <f t="shared" si="28"/>
        <v>Petite Gâterie 7</v>
      </c>
      <c r="E187" s="93">
        <f t="shared" si="28"/>
        <v>1.51</v>
      </c>
      <c r="F187" s="16">
        <f t="shared" si="28"/>
        <v>4.8</v>
      </c>
      <c r="G187" s="17">
        <f t="shared" si="30"/>
        <v>0.31458333333333333</v>
      </c>
      <c r="H187" s="18">
        <f t="shared" si="31"/>
        <v>3.29</v>
      </c>
      <c r="I187" s="11"/>
      <c r="J187" s="9"/>
      <c r="K187" s="9"/>
      <c r="L187" s="23"/>
      <c r="M187" s="54"/>
      <c r="N187"/>
    </row>
    <row r="188" spans="1:14" ht="18" x14ac:dyDescent="0.3">
      <c r="A188" s="122"/>
      <c r="B188" s="9">
        <f t="shared" si="29"/>
        <v>8</v>
      </c>
      <c r="C188" s="9">
        <f t="shared" si="29"/>
        <v>8</v>
      </c>
      <c r="D188" s="9" t="str">
        <f t="shared" si="28"/>
        <v>Petite Gâterie 8</v>
      </c>
      <c r="E188" s="93">
        <f t="shared" si="28"/>
        <v>1.53</v>
      </c>
      <c r="F188" s="16">
        <f t="shared" si="28"/>
        <v>4.9000000000000004</v>
      </c>
      <c r="G188" s="17">
        <f t="shared" si="30"/>
        <v>0.31224489795918364</v>
      </c>
      <c r="H188" s="18">
        <f t="shared" si="31"/>
        <v>3.37</v>
      </c>
      <c r="I188" s="11"/>
      <c r="J188" s="9"/>
      <c r="K188" s="9"/>
      <c r="L188" s="23"/>
      <c r="M188" s="54"/>
      <c r="N188"/>
    </row>
    <row r="189" spans="1:14" ht="18" x14ac:dyDescent="0.3">
      <c r="A189" s="122"/>
      <c r="B189" s="9">
        <f t="shared" si="29"/>
        <v>9</v>
      </c>
      <c r="C189" s="9">
        <f t="shared" si="29"/>
        <v>9</v>
      </c>
      <c r="D189" s="9" t="str">
        <f t="shared" si="28"/>
        <v>Petite Gâterie 9</v>
      </c>
      <c r="E189" s="93">
        <f t="shared" si="28"/>
        <v>1.55</v>
      </c>
      <c r="F189" s="16">
        <f t="shared" si="28"/>
        <v>5</v>
      </c>
      <c r="G189" s="17">
        <f t="shared" si="30"/>
        <v>0.31</v>
      </c>
      <c r="H189" s="18">
        <f t="shared" si="31"/>
        <v>3.45</v>
      </c>
      <c r="I189" s="11"/>
      <c r="J189" s="9"/>
      <c r="K189" s="9"/>
      <c r="L189" s="23"/>
      <c r="M189" s="54"/>
      <c r="N189"/>
    </row>
    <row r="190" spans="1:14" ht="18" x14ac:dyDescent="0.3">
      <c r="A190" s="122"/>
      <c r="B190" s="9">
        <f t="shared" si="29"/>
        <v>10</v>
      </c>
      <c r="C190" s="9">
        <f t="shared" si="29"/>
        <v>10</v>
      </c>
      <c r="D190" s="9" t="str">
        <f t="shared" si="28"/>
        <v>Petite Gâterie 10</v>
      </c>
      <c r="E190" s="93">
        <f t="shared" si="28"/>
        <v>1.59</v>
      </c>
      <c r="F190" s="16">
        <f t="shared" si="28"/>
        <v>5.2</v>
      </c>
      <c r="G190" s="17">
        <f t="shared" si="30"/>
        <v>0.30576923076923079</v>
      </c>
      <c r="H190" s="18">
        <f t="shared" si="31"/>
        <v>3.6100000000000003</v>
      </c>
      <c r="I190" s="11"/>
      <c r="J190" s="9"/>
      <c r="K190" s="9"/>
      <c r="L190" s="23"/>
      <c r="M190" s="54"/>
      <c r="N190"/>
    </row>
    <row r="191" spans="1:14" ht="18" x14ac:dyDescent="0.3">
      <c r="A191" s="122"/>
      <c r="B191" s="9">
        <f t="shared" si="29"/>
        <v>11</v>
      </c>
      <c r="C191" s="9">
        <f t="shared" si="29"/>
        <v>11</v>
      </c>
      <c r="D191" s="9" t="str">
        <f t="shared" si="28"/>
        <v>Petite Gâterie 11</v>
      </c>
      <c r="E191" s="93">
        <f t="shared" si="28"/>
        <v>1.83</v>
      </c>
      <c r="F191" s="16">
        <f t="shared" si="28"/>
        <v>6.4</v>
      </c>
      <c r="G191" s="17">
        <f t="shared" si="30"/>
        <v>0.28593750000000001</v>
      </c>
      <c r="H191" s="18">
        <f t="shared" si="31"/>
        <v>4.57</v>
      </c>
      <c r="I191" s="11"/>
      <c r="J191" s="9"/>
      <c r="K191" s="9"/>
      <c r="L191" s="23"/>
      <c r="M191" s="54"/>
      <c r="N191"/>
    </row>
    <row r="192" spans="1:14" ht="18" x14ac:dyDescent="0.3">
      <c r="A192" s="122"/>
      <c r="B192" s="9">
        <f t="shared" si="29"/>
        <v>12</v>
      </c>
      <c r="C192" s="9">
        <f t="shared" si="29"/>
        <v>12</v>
      </c>
      <c r="D192" s="9" t="str">
        <f t="shared" si="28"/>
        <v>Petite Gâterie 12</v>
      </c>
      <c r="E192" s="93">
        <f t="shared" si="28"/>
        <v>1.87</v>
      </c>
      <c r="F192" s="16">
        <f t="shared" si="28"/>
        <v>6.6</v>
      </c>
      <c r="G192" s="17">
        <f t="shared" si="30"/>
        <v>0.28333333333333338</v>
      </c>
      <c r="H192" s="18">
        <f t="shared" si="31"/>
        <v>4.7299999999999995</v>
      </c>
      <c r="I192" s="11"/>
      <c r="J192" s="9"/>
      <c r="K192" s="9"/>
      <c r="L192" s="23"/>
      <c r="M192" s="54"/>
      <c r="N192"/>
    </row>
    <row r="193" spans="1:14" ht="19" x14ac:dyDescent="0.35">
      <c r="A193" s="122"/>
      <c r="B193" s="9"/>
      <c r="C193" s="9"/>
      <c r="D193" s="10" t="str">
        <f t="shared" si="28"/>
        <v>CmO—PmO—Food Cost—BmO</v>
      </c>
      <c r="E193" s="29">
        <f>SUM(E181:E192)/C192</f>
        <v>1.4816666666666667</v>
      </c>
      <c r="F193" s="29">
        <f>SUM(F181:F192)/C192</f>
        <v>4.8166666666666673</v>
      </c>
      <c r="G193" s="31">
        <f t="shared" si="30"/>
        <v>0.30761245674740478</v>
      </c>
      <c r="H193" s="32">
        <f t="shared" si="31"/>
        <v>3.3350000000000009</v>
      </c>
      <c r="I193" s="33"/>
      <c r="J193" s="9"/>
      <c r="K193" s="9"/>
      <c r="L193" s="91">
        <v>1</v>
      </c>
      <c r="M193" s="54">
        <f>$M$21</f>
        <v>196</v>
      </c>
      <c r="N193"/>
    </row>
    <row r="194" spans="1:14" ht="18" x14ac:dyDescent="0.3">
      <c r="A194" s="122"/>
      <c r="B194" s="9" t="s">
        <v>7</v>
      </c>
      <c r="C194" s="9"/>
      <c r="D194" s="9"/>
      <c r="E194" s="15"/>
      <c r="F194" s="15"/>
      <c r="G194" s="17"/>
      <c r="H194" s="35"/>
      <c r="I194" s="9"/>
      <c r="J194" s="9"/>
      <c r="K194" s="9"/>
      <c r="L194" s="23"/>
      <c r="M194" s="54"/>
      <c r="N194"/>
    </row>
    <row r="195" spans="1:14" ht="18" x14ac:dyDescent="0.3">
      <c r="A195" s="122"/>
      <c r="B195" s="9"/>
      <c r="C195" s="9"/>
      <c r="D195" s="10" t="str">
        <f t="shared" ref="D195:F208" si="32">D152</f>
        <v>Les Boissons  Gâteries</v>
      </c>
      <c r="E195" s="15"/>
      <c r="F195" s="15"/>
      <c r="G195" s="17"/>
      <c r="H195" s="35"/>
      <c r="I195" s="9"/>
      <c r="J195" s="9"/>
      <c r="K195" s="9"/>
      <c r="L195" s="23"/>
      <c r="M195" s="54"/>
      <c r="N195"/>
    </row>
    <row r="196" spans="1:14" ht="18" x14ac:dyDescent="0.3">
      <c r="A196" s="122"/>
      <c r="B196" s="9">
        <f t="shared" ref="B196:C207" si="33">B153</f>
        <v>13</v>
      </c>
      <c r="C196" s="9">
        <f t="shared" si="33"/>
        <v>1</v>
      </c>
      <c r="D196" s="9" t="str">
        <f t="shared" si="32"/>
        <v>Boisson spécial numéro 1</v>
      </c>
      <c r="E196" s="93">
        <f t="shared" si="32"/>
        <v>2.2799999999999998</v>
      </c>
      <c r="F196" s="16">
        <f t="shared" si="32"/>
        <v>6.6</v>
      </c>
      <c r="G196" s="17">
        <f>E196/F196</f>
        <v>0.34545454545454546</v>
      </c>
      <c r="H196" s="18">
        <f>F196-E196</f>
        <v>4.32</v>
      </c>
      <c r="I196" s="11"/>
      <c r="J196" s="9"/>
      <c r="K196" s="9"/>
      <c r="L196" s="23"/>
      <c r="M196" s="54"/>
      <c r="N196"/>
    </row>
    <row r="197" spans="1:14" ht="18" x14ac:dyDescent="0.3">
      <c r="A197" s="122"/>
      <c r="B197" s="9">
        <f t="shared" si="33"/>
        <v>14</v>
      </c>
      <c r="C197" s="9">
        <f t="shared" si="33"/>
        <v>2</v>
      </c>
      <c r="D197" s="9" t="str">
        <f t="shared" si="32"/>
        <v>Boisson spécial numéro 2</v>
      </c>
      <c r="E197" s="93">
        <f t="shared" si="32"/>
        <v>2.66</v>
      </c>
      <c r="F197" s="16">
        <f t="shared" si="32"/>
        <v>7.6</v>
      </c>
      <c r="G197" s="17">
        <f>E197/F197</f>
        <v>0.35000000000000003</v>
      </c>
      <c r="H197" s="18">
        <f>F197-E197</f>
        <v>4.9399999999999995</v>
      </c>
      <c r="I197" s="11"/>
      <c r="J197" s="9"/>
      <c r="K197" s="9"/>
      <c r="L197" s="23"/>
      <c r="M197" s="54"/>
      <c r="N197"/>
    </row>
    <row r="198" spans="1:14" ht="18" x14ac:dyDescent="0.3">
      <c r="A198" s="122"/>
      <c r="B198" s="9">
        <f t="shared" si="33"/>
        <v>15</v>
      </c>
      <c r="C198" s="9">
        <f t="shared" si="33"/>
        <v>3</v>
      </c>
      <c r="D198" s="9" t="str">
        <f t="shared" si="32"/>
        <v>Boisson spécial numéro 3</v>
      </c>
      <c r="E198" s="93">
        <f t="shared" si="32"/>
        <v>2.74</v>
      </c>
      <c r="F198" s="16">
        <f t="shared" si="32"/>
        <v>8</v>
      </c>
      <c r="G198" s="17">
        <f>E198/F198</f>
        <v>0.34250000000000003</v>
      </c>
      <c r="H198" s="18">
        <f>F198-E198</f>
        <v>5.26</v>
      </c>
      <c r="I198" s="11"/>
      <c r="J198" s="9"/>
      <c r="K198" s="9"/>
      <c r="L198" s="23"/>
      <c r="M198" s="54"/>
      <c r="N198"/>
    </row>
    <row r="199" spans="1:14" ht="18" x14ac:dyDescent="0.3">
      <c r="A199" s="122"/>
      <c r="B199" s="9">
        <f t="shared" si="33"/>
        <v>16</v>
      </c>
      <c r="C199" s="9">
        <f t="shared" si="33"/>
        <v>4</v>
      </c>
      <c r="D199" s="9" t="str">
        <f t="shared" si="32"/>
        <v>Boisson spécial numéro 4</v>
      </c>
      <c r="E199" s="93">
        <f t="shared" si="32"/>
        <v>2.72</v>
      </c>
      <c r="F199" s="16">
        <f t="shared" si="32"/>
        <v>9</v>
      </c>
      <c r="G199" s="17">
        <f t="shared" ref="G199:G206" si="34">E199/F199</f>
        <v>0.30222222222222223</v>
      </c>
      <c r="H199" s="18">
        <f t="shared" ref="H199:H206" si="35">F199-E199</f>
        <v>6.2799999999999994</v>
      </c>
      <c r="I199" s="11"/>
      <c r="J199" s="9"/>
      <c r="K199" s="9"/>
      <c r="L199" s="23"/>
      <c r="M199" s="54"/>
      <c r="N199"/>
    </row>
    <row r="200" spans="1:14" ht="18" x14ac:dyDescent="0.3">
      <c r="A200" s="122"/>
      <c r="B200" s="9">
        <f t="shared" si="33"/>
        <v>17</v>
      </c>
      <c r="C200" s="9">
        <f t="shared" si="33"/>
        <v>5</v>
      </c>
      <c r="D200" s="9" t="str">
        <f t="shared" si="32"/>
        <v>Boisson spécial numéro 5</v>
      </c>
      <c r="E200" s="93">
        <f t="shared" si="32"/>
        <v>2.76</v>
      </c>
      <c r="F200" s="16">
        <f t="shared" si="32"/>
        <v>9.1999999999999993</v>
      </c>
      <c r="G200" s="17">
        <f t="shared" si="34"/>
        <v>0.3</v>
      </c>
      <c r="H200" s="18">
        <f t="shared" si="35"/>
        <v>6.4399999999999995</v>
      </c>
      <c r="I200" s="11"/>
      <c r="J200" s="9"/>
      <c r="K200" s="9"/>
      <c r="L200" s="23"/>
      <c r="M200" s="54"/>
      <c r="N200"/>
    </row>
    <row r="201" spans="1:14" ht="18" x14ac:dyDescent="0.3">
      <c r="A201" s="122"/>
      <c r="B201" s="9">
        <f t="shared" si="33"/>
        <v>18</v>
      </c>
      <c r="C201" s="9">
        <f t="shared" si="33"/>
        <v>6</v>
      </c>
      <c r="D201" s="9" t="str">
        <f t="shared" si="32"/>
        <v>Boisson spécial numéro 6</v>
      </c>
      <c r="E201" s="93">
        <f t="shared" si="32"/>
        <v>2.8</v>
      </c>
      <c r="F201" s="16">
        <f t="shared" si="32"/>
        <v>9.4</v>
      </c>
      <c r="G201" s="17">
        <f t="shared" si="34"/>
        <v>0.2978723404255319</v>
      </c>
      <c r="H201" s="18">
        <f t="shared" si="35"/>
        <v>6.6000000000000005</v>
      </c>
      <c r="I201" s="11"/>
      <c r="J201" s="9"/>
      <c r="K201" s="9"/>
      <c r="L201" s="23"/>
      <c r="M201" s="54"/>
      <c r="N201"/>
    </row>
    <row r="202" spans="1:14" ht="18" x14ac:dyDescent="0.3">
      <c r="A202" s="122"/>
      <c r="B202" s="9">
        <f t="shared" si="33"/>
        <v>19</v>
      </c>
      <c r="C202" s="9">
        <f t="shared" si="33"/>
        <v>7</v>
      </c>
      <c r="D202" s="9" t="str">
        <f t="shared" si="32"/>
        <v>Boisson spécial numéro 7</v>
      </c>
      <c r="E202" s="93">
        <f t="shared" si="32"/>
        <v>2.82</v>
      </c>
      <c r="F202" s="16">
        <f t="shared" si="32"/>
        <v>9.6</v>
      </c>
      <c r="G202" s="17">
        <f t="shared" si="34"/>
        <v>0.29375000000000001</v>
      </c>
      <c r="H202" s="18">
        <f t="shared" si="35"/>
        <v>6.7799999999999994</v>
      </c>
      <c r="I202" s="11"/>
      <c r="J202" s="9"/>
      <c r="K202" s="9"/>
      <c r="L202" s="23"/>
      <c r="M202" s="54"/>
      <c r="N202"/>
    </row>
    <row r="203" spans="1:14" ht="18" x14ac:dyDescent="0.3">
      <c r="A203" s="122"/>
      <c r="B203" s="9">
        <f t="shared" si="33"/>
        <v>20</v>
      </c>
      <c r="C203" s="9">
        <f t="shared" si="33"/>
        <v>8</v>
      </c>
      <c r="D203" s="9" t="str">
        <f t="shared" si="32"/>
        <v>Boisson spécial numéro 8</v>
      </c>
      <c r="E203" s="93">
        <f t="shared" si="32"/>
        <v>2.86</v>
      </c>
      <c r="F203" s="16">
        <f t="shared" si="32"/>
        <v>9.8000000000000007</v>
      </c>
      <c r="G203" s="17">
        <f t="shared" si="34"/>
        <v>0.2918367346938775</v>
      </c>
      <c r="H203" s="18">
        <f t="shared" si="35"/>
        <v>6.9400000000000013</v>
      </c>
      <c r="I203" s="11"/>
      <c r="J203" s="9"/>
      <c r="K203" s="9"/>
      <c r="L203" s="23"/>
      <c r="M203" s="54"/>
      <c r="N203"/>
    </row>
    <row r="204" spans="1:14" ht="18" x14ac:dyDescent="0.3">
      <c r="A204" s="122"/>
      <c r="B204" s="9">
        <f t="shared" si="33"/>
        <v>21</v>
      </c>
      <c r="C204" s="9">
        <f t="shared" si="33"/>
        <v>9</v>
      </c>
      <c r="D204" s="9" t="str">
        <f t="shared" si="32"/>
        <v>Boisson spécial numéro 9</v>
      </c>
      <c r="E204" s="93">
        <f t="shared" si="32"/>
        <v>2.9</v>
      </c>
      <c r="F204" s="16">
        <f t="shared" si="32"/>
        <v>10</v>
      </c>
      <c r="G204" s="17">
        <f t="shared" si="34"/>
        <v>0.28999999999999998</v>
      </c>
      <c r="H204" s="18">
        <f t="shared" si="35"/>
        <v>7.1</v>
      </c>
      <c r="I204" s="11"/>
      <c r="J204" s="9"/>
      <c r="K204" s="9"/>
      <c r="L204" s="23"/>
      <c r="M204" s="54"/>
      <c r="N204"/>
    </row>
    <row r="205" spans="1:14" ht="18" x14ac:dyDescent="0.3">
      <c r="A205" s="122"/>
      <c r="B205" s="9">
        <f t="shared" si="33"/>
        <v>22</v>
      </c>
      <c r="C205" s="9">
        <f t="shared" si="33"/>
        <v>10</v>
      </c>
      <c r="D205" s="9" t="str">
        <f t="shared" si="32"/>
        <v>Boisson spécial numéro 10</v>
      </c>
      <c r="E205" s="93">
        <f t="shared" si="32"/>
        <v>2.98</v>
      </c>
      <c r="F205" s="16">
        <f t="shared" si="32"/>
        <v>10.4</v>
      </c>
      <c r="G205" s="17">
        <f t="shared" si="34"/>
        <v>0.28653846153846152</v>
      </c>
      <c r="H205" s="18">
        <f t="shared" si="35"/>
        <v>7.42</v>
      </c>
      <c r="I205" s="11"/>
      <c r="J205" s="9"/>
      <c r="K205" s="9"/>
      <c r="L205" s="23"/>
      <c r="M205" s="54"/>
      <c r="N205"/>
    </row>
    <row r="206" spans="1:14" ht="18" x14ac:dyDescent="0.3">
      <c r="A206" s="122"/>
      <c r="B206" s="9">
        <f t="shared" si="33"/>
        <v>23</v>
      </c>
      <c r="C206" s="9">
        <f t="shared" si="33"/>
        <v>11</v>
      </c>
      <c r="D206" s="9" t="str">
        <f t="shared" si="32"/>
        <v>Boisson spécial numéro 11</v>
      </c>
      <c r="E206" s="93">
        <f t="shared" si="32"/>
        <v>3.18</v>
      </c>
      <c r="F206" s="16">
        <f t="shared" si="32"/>
        <v>11.6</v>
      </c>
      <c r="G206" s="17">
        <f t="shared" si="34"/>
        <v>0.27413793103448281</v>
      </c>
      <c r="H206" s="18">
        <f t="shared" si="35"/>
        <v>8.42</v>
      </c>
      <c r="I206" s="11"/>
      <c r="J206" s="9"/>
      <c r="K206" s="9"/>
      <c r="L206" s="23"/>
      <c r="M206" s="54"/>
      <c r="N206"/>
    </row>
    <row r="207" spans="1:14" ht="18" x14ac:dyDescent="0.3">
      <c r="A207" s="122"/>
      <c r="B207" s="9">
        <f t="shared" si="33"/>
        <v>24</v>
      </c>
      <c r="C207" s="9">
        <f t="shared" si="33"/>
        <v>12</v>
      </c>
      <c r="D207" s="9" t="str">
        <f t="shared" si="32"/>
        <v>Boisson spécial numéro 12</v>
      </c>
      <c r="E207" s="93">
        <f t="shared" si="32"/>
        <v>3.48</v>
      </c>
      <c r="F207" s="16">
        <f t="shared" si="32"/>
        <v>13.2</v>
      </c>
      <c r="G207" s="17">
        <f>E207/F207</f>
        <v>0.26363636363636367</v>
      </c>
      <c r="H207" s="18">
        <f>F207-E207</f>
        <v>9.7199999999999989</v>
      </c>
      <c r="I207" s="11"/>
      <c r="J207" s="9"/>
      <c r="K207" s="9"/>
      <c r="L207" s="23"/>
      <c r="M207" s="54"/>
      <c r="N207"/>
    </row>
    <row r="208" spans="1:14" ht="19" x14ac:dyDescent="0.35">
      <c r="A208" s="122"/>
      <c r="B208" s="9"/>
      <c r="C208" s="9"/>
      <c r="D208" s="10" t="str">
        <f t="shared" si="32"/>
        <v>CmO—PmO—Beverage Cost—Marge brute</v>
      </c>
      <c r="E208" s="29">
        <f>SUM(E196:E207)/C207</f>
        <v>2.8483333333333332</v>
      </c>
      <c r="F208" s="29">
        <f>SUM(F196:F207)/C207</f>
        <v>9.5333333333333332</v>
      </c>
      <c r="G208" s="36">
        <f>E208/F208</f>
        <v>0.29877622377622376</v>
      </c>
      <c r="H208" s="32">
        <f>F208-E208</f>
        <v>6.6850000000000005</v>
      </c>
      <c r="I208" s="33"/>
      <c r="J208" s="9"/>
      <c r="K208" s="9"/>
      <c r="L208" s="91">
        <v>1</v>
      </c>
      <c r="M208" s="54">
        <f>$M$21</f>
        <v>196</v>
      </c>
      <c r="N208"/>
    </row>
    <row r="209" spans="1:14" ht="19" thickBot="1" x14ac:dyDescent="0.35">
      <c r="A209" s="122"/>
      <c r="B209" s="9"/>
      <c r="C209" s="9"/>
      <c r="D209" s="9"/>
      <c r="E209" s="15"/>
      <c r="F209" s="15"/>
      <c r="G209" s="12"/>
      <c r="H209" s="35"/>
      <c r="I209" s="9"/>
      <c r="J209" s="9"/>
      <c r="K209" s="9"/>
      <c r="L209" s="23"/>
      <c r="M209" s="54"/>
      <c r="N209"/>
    </row>
    <row r="210" spans="1:14" ht="21" thickTop="1" thickBot="1" x14ac:dyDescent="0.4">
      <c r="A210" s="122"/>
      <c r="B210" s="9"/>
      <c r="C210" s="37"/>
      <c r="D210" s="38"/>
      <c r="E210" s="39"/>
      <c r="F210" s="39"/>
      <c r="G210" s="40"/>
      <c r="H210" s="39"/>
      <c r="I210" s="42"/>
      <c r="J210" s="9"/>
      <c r="K210" s="9"/>
      <c r="L210" s="23"/>
      <c r="M210" s="54"/>
      <c r="N210"/>
    </row>
    <row r="211" spans="1:14" ht="20" thickTop="1" thickBot="1" x14ac:dyDescent="0.35">
      <c r="A211" s="122"/>
      <c r="B211" s="9"/>
      <c r="C211" s="44"/>
      <c r="D211" s="10"/>
      <c r="E211" s="45" t="str">
        <f>E168</f>
        <v>CmO</v>
      </c>
      <c r="F211" s="45" t="str">
        <f>F168</f>
        <v>PmO</v>
      </c>
      <c r="G211" s="46" t="str">
        <f>G168</f>
        <v>F&amp;BCmO</v>
      </c>
      <c r="H211" s="47" t="str">
        <f>H168</f>
        <v>BmO</v>
      </c>
      <c r="I211" s="48"/>
      <c r="J211" s="9"/>
      <c r="K211" s="9"/>
      <c r="L211" s="23"/>
      <c r="M211" s="54"/>
      <c r="N211"/>
    </row>
    <row r="212" spans="1:14" ht="19" thickTop="1" x14ac:dyDescent="0.3">
      <c r="A212" s="122"/>
      <c r="B212" s="9"/>
      <c r="C212" s="44"/>
      <c r="D212" s="49" t="str">
        <f>D169</f>
        <v>OFFRE TOTALE AVEC LES GÂTERIES ET LES CAFÉS GÂTERIES</v>
      </c>
      <c r="E212" s="15"/>
      <c r="F212" s="15"/>
      <c r="G212" s="12"/>
      <c r="H212" s="35"/>
      <c r="I212" s="50"/>
      <c r="J212" s="9"/>
      <c r="K212" s="9"/>
      <c r="L212" s="23"/>
      <c r="M212" s="54"/>
      <c r="N212"/>
    </row>
    <row r="213" spans="1:14" ht="19" x14ac:dyDescent="0.35">
      <c r="A213" s="122"/>
      <c r="B213" s="9"/>
      <c r="C213" s="44"/>
      <c r="D213" s="10" t="str">
        <f>D170</f>
        <v>CmO—PmO—F&amp;B cost moyen offert—Marge brute</v>
      </c>
      <c r="E213" s="30">
        <f>+(E181+E182+E183+E184+E185+E186+E187+E188+E189+E190+E191+E192+E196+E197+E198+E199+E200+E201+E202+E203+E204+E205+E206+E207)/B207</f>
        <v>2.1649999999999996</v>
      </c>
      <c r="F213" s="30">
        <f>+(F181+F182+F183+F184+F185+F186+F187+F188+F189+F190+F191+F192+F196+F197+F198+F199+F200+F201+F202+F203+F204+F205+F206+F207)/B207</f>
        <v>7.1749999999999998</v>
      </c>
      <c r="G213" s="51">
        <f>E213/F213</f>
        <v>0.30174216027874562</v>
      </c>
      <c r="H213" s="52">
        <f>F213-E213</f>
        <v>5.01</v>
      </c>
      <c r="I213" s="53"/>
      <c r="J213" s="9"/>
      <c r="K213" s="9"/>
      <c r="L213" s="23">
        <f>L170</f>
        <v>2</v>
      </c>
      <c r="M213" s="54">
        <f>$M$21</f>
        <v>196</v>
      </c>
      <c r="N213"/>
    </row>
    <row r="214" spans="1:14" ht="18" x14ac:dyDescent="0.3">
      <c r="A214" s="122"/>
      <c r="B214" s="9"/>
      <c r="C214" s="44"/>
      <c r="D214" s="9"/>
      <c r="E214" s="55"/>
      <c r="F214" s="55"/>
      <c r="G214" s="56"/>
      <c r="H214" s="57"/>
      <c r="I214" s="58"/>
      <c r="J214" s="9"/>
      <c r="K214" s="9"/>
      <c r="L214" s="23"/>
      <c r="M214" s="54"/>
      <c r="N214"/>
    </row>
    <row r="215" spans="1:14" ht="19" thickBot="1" x14ac:dyDescent="0.35">
      <c r="A215" s="122"/>
      <c r="B215" s="9"/>
      <c r="C215" s="59"/>
      <c r="D215" s="60"/>
      <c r="E215" s="61"/>
      <c r="F215" s="61"/>
      <c r="G215" s="62"/>
      <c r="H215" s="63"/>
      <c r="I215" s="64"/>
      <c r="J215" s="9"/>
      <c r="K215" s="9"/>
      <c r="L215" s="65"/>
      <c r="M215" s="98"/>
      <c r="N215"/>
    </row>
    <row r="216" spans="1:14" ht="19" thickTop="1" x14ac:dyDescent="0.3">
      <c r="A216" s="122"/>
      <c r="L216" s="69"/>
      <c r="M216" s="70"/>
      <c r="N216"/>
    </row>
    <row r="217" spans="1:14" ht="23" x14ac:dyDescent="0.3">
      <c r="A217" s="122"/>
      <c r="D217" s="2" t="s">
        <v>54</v>
      </c>
      <c r="F217" s="3"/>
      <c r="L217" s="69"/>
      <c r="M217" s="70"/>
      <c r="N217"/>
    </row>
    <row r="218" spans="1:14" ht="24" thickBot="1" x14ac:dyDescent="0.35">
      <c r="A218" s="122"/>
      <c r="D218" s="4"/>
      <c r="L218" s="69"/>
      <c r="M218" s="70"/>
      <c r="N218"/>
    </row>
    <row r="219" spans="1:14" ht="23" customHeight="1" thickTop="1" x14ac:dyDescent="0.25">
      <c r="A219" s="122"/>
      <c r="D219" s="4"/>
      <c r="E219" s="108" t="str">
        <f>E176</f>
        <v>Coûts des ressources alimentaires pour chaque produit offert (voir recettes standardisées)</v>
      </c>
      <c r="F219" s="108" t="str">
        <f>F176</f>
        <v>Prix de vente par produit offert</v>
      </c>
      <c r="G219" s="108" t="str">
        <f>G176</f>
        <v xml:space="preserve">« Food &amp; Beverage Cost » </v>
      </c>
      <c r="H219" s="108" t="str">
        <f>H176</f>
        <v>Marge brute gagnée sur la vente de chaque produit offert</v>
      </c>
      <c r="I219" s="5"/>
      <c r="L219" s="113" t="s">
        <v>5</v>
      </c>
      <c r="M219" s="113" t="s">
        <v>6</v>
      </c>
      <c r="N219"/>
    </row>
    <row r="220" spans="1:14" ht="22" x14ac:dyDescent="0.25">
      <c r="A220" s="122"/>
      <c r="D220" s="4"/>
      <c r="E220" s="109"/>
      <c r="F220" s="111"/>
      <c r="G220" s="111"/>
      <c r="H220" s="111"/>
      <c r="I220" s="6"/>
      <c r="L220" s="114"/>
      <c r="M220" s="116"/>
      <c r="N220"/>
    </row>
    <row r="221" spans="1:14" ht="14" customHeight="1" thickBot="1" x14ac:dyDescent="0.25">
      <c r="A221" s="122"/>
      <c r="E221" s="110"/>
      <c r="F221" s="112"/>
      <c r="G221" s="112"/>
      <c r="H221" s="112"/>
      <c r="I221" s="6"/>
      <c r="L221" s="115"/>
      <c r="M221" s="117"/>
      <c r="N221"/>
    </row>
    <row r="222" spans="1:14" ht="20" thickTop="1" thickBot="1" x14ac:dyDescent="0.35">
      <c r="A222" s="122"/>
      <c r="B222" s="1" t="s">
        <v>7</v>
      </c>
      <c r="E222" s="3"/>
      <c r="F222" s="3"/>
      <c r="G222" s="7"/>
      <c r="L222" s="69"/>
      <c r="M222" s="70"/>
      <c r="N222"/>
    </row>
    <row r="223" spans="1:14" ht="19" thickTop="1" x14ac:dyDescent="0.3">
      <c r="A223" s="122"/>
      <c r="B223" s="9"/>
      <c r="C223" s="9"/>
      <c r="D223" s="10" t="str">
        <f t="shared" ref="D223:F236" si="36">D180</f>
        <v>Les Petite Gâteries</v>
      </c>
      <c r="E223" s="11"/>
      <c r="F223" s="11"/>
      <c r="G223" s="12"/>
      <c r="H223" s="9"/>
      <c r="I223" s="9"/>
      <c r="J223" s="9"/>
      <c r="K223" s="9"/>
      <c r="L223" s="13"/>
      <c r="M223" s="97"/>
      <c r="N223"/>
    </row>
    <row r="224" spans="1:14" ht="18" x14ac:dyDescent="0.3">
      <c r="A224" s="122"/>
      <c r="B224" s="9">
        <f t="shared" ref="B224:C235" si="37">B181</f>
        <v>1</v>
      </c>
      <c r="C224" s="9">
        <f t="shared" si="37"/>
        <v>1</v>
      </c>
      <c r="D224" s="9" t="str">
        <f t="shared" si="36"/>
        <v>Petite Gâterie 1</v>
      </c>
      <c r="E224" s="93">
        <f t="shared" si="36"/>
        <v>1.21</v>
      </c>
      <c r="F224" s="16">
        <f t="shared" si="36"/>
        <v>3.3</v>
      </c>
      <c r="G224" s="17">
        <f t="shared" ref="G224:G236" si="38">E224/F224</f>
        <v>0.3666666666666667</v>
      </c>
      <c r="H224" s="18">
        <f t="shared" ref="H224:H236" si="39">F224-E224</f>
        <v>2.09</v>
      </c>
      <c r="I224" s="11"/>
      <c r="J224" s="9"/>
      <c r="K224" s="9"/>
      <c r="L224" s="20"/>
      <c r="M224" s="54"/>
      <c r="N224"/>
    </row>
    <row r="225" spans="1:14" ht="18" x14ac:dyDescent="0.3">
      <c r="A225" s="122"/>
      <c r="B225" s="9">
        <f t="shared" si="37"/>
        <v>2</v>
      </c>
      <c r="C225" s="9">
        <f t="shared" si="37"/>
        <v>2</v>
      </c>
      <c r="D225" s="9" t="str">
        <f t="shared" si="36"/>
        <v>Petite Gâterie 2</v>
      </c>
      <c r="E225" s="93">
        <f t="shared" si="36"/>
        <v>1.31</v>
      </c>
      <c r="F225" s="16">
        <f t="shared" si="36"/>
        <v>3.8</v>
      </c>
      <c r="G225" s="17">
        <f t="shared" si="38"/>
        <v>0.34473684210526317</v>
      </c>
      <c r="H225" s="18">
        <f t="shared" si="39"/>
        <v>2.4899999999999998</v>
      </c>
      <c r="I225" s="11"/>
      <c r="J225" s="9"/>
      <c r="K225" s="9"/>
      <c r="L225" s="23"/>
      <c r="M225" s="54"/>
      <c r="N225"/>
    </row>
    <row r="226" spans="1:14" ht="18" x14ac:dyDescent="0.3">
      <c r="A226" s="122"/>
      <c r="B226" s="9">
        <f t="shared" si="37"/>
        <v>3</v>
      </c>
      <c r="C226" s="9">
        <f t="shared" si="37"/>
        <v>3</v>
      </c>
      <c r="D226" s="9" t="str">
        <f t="shared" si="36"/>
        <v>Petite Gâterie 3</v>
      </c>
      <c r="E226" s="93">
        <f t="shared" si="36"/>
        <v>1.35</v>
      </c>
      <c r="F226" s="16">
        <f t="shared" si="36"/>
        <v>4</v>
      </c>
      <c r="G226" s="17">
        <f t="shared" si="38"/>
        <v>0.33750000000000002</v>
      </c>
      <c r="H226" s="18">
        <f t="shared" si="39"/>
        <v>2.65</v>
      </c>
      <c r="I226" s="11"/>
      <c r="J226" s="9"/>
      <c r="K226" s="9"/>
      <c r="L226" s="23"/>
      <c r="M226" s="54"/>
      <c r="N226"/>
    </row>
    <row r="227" spans="1:14" ht="18" x14ac:dyDescent="0.3">
      <c r="A227" s="122"/>
      <c r="B227" s="9">
        <f t="shared" si="37"/>
        <v>4</v>
      </c>
      <c r="C227" s="9">
        <f t="shared" si="37"/>
        <v>4</v>
      </c>
      <c r="D227" s="9" t="str">
        <f t="shared" si="36"/>
        <v>Petite Gâterie 4</v>
      </c>
      <c r="E227" s="93">
        <f t="shared" si="36"/>
        <v>1.4</v>
      </c>
      <c r="F227" s="16">
        <f t="shared" si="36"/>
        <v>4.5</v>
      </c>
      <c r="G227" s="17">
        <f t="shared" si="38"/>
        <v>0.31111111111111112</v>
      </c>
      <c r="H227" s="18">
        <f t="shared" si="39"/>
        <v>3.1</v>
      </c>
      <c r="I227" s="11"/>
      <c r="J227" s="9"/>
      <c r="K227" s="9"/>
      <c r="L227" s="23"/>
      <c r="M227" s="54"/>
      <c r="N227"/>
    </row>
    <row r="228" spans="1:14" ht="18" x14ac:dyDescent="0.3">
      <c r="A228" s="122"/>
      <c r="B228" s="9">
        <f t="shared" si="37"/>
        <v>5</v>
      </c>
      <c r="C228" s="9">
        <f t="shared" si="37"/>
        <v>5</v>
      </c>
      <c r="D228" s="9" t="str">
        <f t="shared" si="36"/>
        <v>Petite Gâterie 5</v>
      </c>
      <c r="E228" s="93">
        <f t="shared" si="36"/>
        <v>1.24</v>
      </c>
      <c r="F228" s="16">
        <f t="shared" si="36"/>
        <v>4.5999999999999996</v>
      </c>
      <c r="G228" s="17">
        <f t="shared" si="38"/>
        <v>0.26956521739130435</v>
      </c>
      <c r="H228" s="18">
        <f t="shared" si="39"/>
        <v>3.3599999999999994</v>
      </c>
      <c r="I228" s="11"/>
      <c r="J228" s="9"/>
      <c r="K228" s="9"/>
      <c r="L228" s="23"/>
      <c r="M228" s="54"/>
      <c r="N228"/>
    </row>
    <row r="229" spans="1:14" ht="18" x14ac:dyDescent="0.3">
      <c r="A229" s="122"/>
      <c r="B229" s="9">
        <f t="shared" si="37"/>
        <v>6</v>
      </c>
      <c r="C229" s="9">
        <f t="shared" si="37"/>
        <v>6</v>
      </c>
      <c r="D229" s="9" t="str">
        <f t="shared" si="36"/>
        <v>Petite Gâterie 6</v>
      </c>
      <c r="E229" s="93">
        <f t="shared" si="36"/>
        <v>1.39</v>
      </c>
      <c r="F229" s="16">
        <f t="shared" si="36"/>
        <v>4.7</v>
      </c>
      <c r="G229" s="17">
        <f t="shared" si="38"/>
        <v>0.29574468085106381</v>
      </c>
      <c r="H229" s="18">
        <f t="shared" si="39"/>
        <v>3.3100000000000005</v>
      </c>
      <c r="I229" s="11"/>
      <c r="J229" s="9"/>
      <c r="K229" s="9"/>
      <c r="L229" s="23"/>
      <c r="M229" s="54"/>
      <c r="N229"/>
    </row>
    <row r="230" spans="1:14" ht="18" x14ac:dyDescent="0.3">
      <c r="A230" s="122"/>
      <c r="B230" s="9">
        <f t="shared" si="37"/>
        <v>7</v>
      </c>
      <c r="C230" s="9">
        <f t="shared" si="37"/>
        <v>7</v>
      </c>
      <c r="D230" s="9" t="str">
        <f t="shared" si="36"/>
        <v>Petite Gâterie 7</v>
      </c>
      <c r="E230" s="93">
        <f t="shared" si="36"/>
        <v>1.51</v>
      </c>
      <c r="F230" s="16">
        <f t="shared" si="36"/>
        <v>4.8</v>
      </c>
      <c r="G230" s="17">
        <f t="shared" si="38"/>
        <v>0.31458333333333333</v>
      </c>
      <c r="H230" s="18">
        <f t="shared" si="39"/>
        <v>3.29</v>
      </c>
      <c r="I230" s="11"/>
      <c r="J230" s="9"/>
      <c r="K230" s="9"/>
      <c r="L230" s="23"/>
      <c r="M230" s="54"/>
      <c r="N230"/>
    </row>
    <row r="231" spans="1:14" ht="18" x14ac:dyDescent="0.3">
      <c r="A231" s="122"/>
      <c r="B231" s="9">
        <f t="shared" si="37"/>
        <v>8</v>
      </c>
      <c r="C231" s="9">
        <f t="shared" si="37"/>
        <v>8</v>
      </c>
      <c r="D231" s="9" t="str">
        <f t="shared" si="36"/>
        <v>Petite Gâterie 8</v>
      </c>
      <c r="E231" s="93">
        <f t="shared" si="36"/>
        <v>1.53</v>
      </c>
      <c r="F231" s="16">
        <f t="shared" si="36"/>
        <v>4.9000000000000004</v>
      </c>
      <c r="G231" s="17">
        <f t="shared" si="38"/>
        <v>0.31224489795918364</v>
      </c>
      <c r="H231" s="18">
        <f t="shared" si="39"/>
        <v>3.37</v>
      </c>
      <c r="I231" s="11"/>
      <c r="J231" s="9"/>
      <c r="K231" s="9"/>
      <c r="L231" s="23"/>
      <c r="M231" s="54"/>
      <c r="N231"/>
    </row>
    <row r="232" spans="1:14" ht="18" x14ac:dyDescent="0.3">
      <c r="A232" s="122"/>
      <c r="B232" s="9">
        <f t="shared" si="37"/>
        <v>9</v>
      </c>
      <c r="C232" s="9">
        <f t="shared" si="37"/>
        <v>9</v>
      </c>
      <c r="D232" s="9" t="str">
        <f t="shared" si="36"/>
        <v>Petite Gâterie 9</v>
      </c>
      <c r="E232" s="93">
        <f t="shared" si="36"/>
        <v>1.55</v>
      </c>
      <c r="F232" s="16">
        <f t="shared" si="36"/>
        <v>5</v>
      </c>
      <c r="G232" s="17">
        <f t="shared" si="38"/>
        <v>0.31</v>
      </c>
      <c r="H232" s="18">
        <f t="shared" si="39"/>
        <v>3.45</v>
      </c>
      <c r="I232" s="11"/>
      <c r="J232" s="9"/>
      <c r="K232" s="9"/>
      <c r="L232" s="23"/>
      <c r="M232" s="54"/>
      <c r="N232"/>
    </row>
    <row r="233" spans="1:14" ht="18" x14ac:dyDescent="0.3">
      <c r="A233" s="122"/>
      <c r="B233" s="9">
        <f t="shared" si="37"/>
        <v>10</v>
      </c>
      <c r="C233" s="9">
        <f t="shared" si="37"/>
        <v>10</v>
      </c>
      <c r="D233" s="9" t="str">
        <f t="shared" si="36"/>
        <v>Petite Gâterie 10</v>
      </c>
      <c r="E233" s="93">
        <f t="shared" si="36"/>
        <v>1.59</v>
      </c>
      <c r="F233" s="16">
        <f t="shared" si="36"/>
        <v>5.2</v>
      </c>
      <c r="G233" s="17">
        <f t="shared" si="38"/>
        <v>0.30576923076923079</v>
      </c>
      <c r="H233" s="18">
        <f t="shared" si="39"/>
        <v>3.6100000000000003</v>
      </c>
      <c r="I233" s="11"/>
      <c r="J233" s="9"/>
      <c r="K233" s="9"/>
      <c r="L233" s="23"/>
      <c r="M233" s="54"/>
      <c r="N233"/>
    </row>
    <row r="234" spans="1:14" ht="18" x14ac:dyDescent="0.3">
      <c r="A234" s="122"/>
      <c r="B234" s="9">
        <f t="shared" si="37"/>
        <v>11</v>
      </c>
      <c r="C234" s="9">
        <f t="shared" si="37"/>
        <v>11</v>
      </c>
      <c r="D234" s="9" t="str">
        <f t="shared" si="36"/>
        <v>Petite Gâterie 11</v>
      </c>
      <c r="E234" s="93">
        <f t="shared" si="36"/>
        <v>1.83</v>
      </c>
      <c r="F234" s="16">
        <f t="shared" si="36"/>
        <v>6.4</v>
      </c>
      <c r="G234" s="17">
        <f t="shared" si="38"/>
        <v>0.28593750000000001</v>
      </c>
      <c r="H234" s="18">
        <f t="shared" si="39"/>
        <v>4.57</v>
      </c>
      <c r="I234" s="11"/>
      <c r="J234" s="9"/>
      <c r="K234" s="9"/>
      <c r="L234" s="23"/>
      <c r="M234" s="54"/>
      <c r="N234"/>
    </row>
    <row r="235" spans="1:14" ht="18" x14ac:dyDescent="0.3">
      <c r="A235" s="122"/>
      <c r="B235" s="9">
        <f t="shared" si="37"/>
        <v>12</v>
      </c>
      <c r="C235" s="9">
        <f t="shared" si="37"/>
        <v>12</v>
      </c>
      <c r="D235" s="9" t="str">
        <f t="shared" si="36"/>
        <v>Petite Gâterie 12</v>
      </c>
      <c r="E235" s="93">
        <f t="shared" si="36"/>
        <v>1.87</v>
      </c>
      <c r="F235" s="16">
        <f t="shared" si="36"/>
        <v>6.6</v>
      </c>
      <c r="G235" s="17">
        <f t="shared" si="38"/>
        <v>0.28333333333333338</v>
      </c>
      <c r="H235" s="18">
        <f t="shared" si="39"/>
        <v>4.7299999999999995</v>
      </c>
      <c r="I235" s="11"/>
      <c r="J235" s="9"/>
      <c r="K235" s="9"/>
      <c r="L235" s="23"/>
      <c r="M235" s="54"/>
      <c r="N235"/>
    </row>
    <row r="236" spans="1:14" ht="19" x14ac:dyDescent="0.35">
      <c r="A236" s="122"/>
      <c r="B236" s="9"/>
      <c r="C236" s="9"/>
      <c r="D236" s="10" t="str">
        <f t="shared" si="36"/>
        <v>CmO—PmO—Food Cost—BmO</v>
      </c>
      <c r="E236" s="29">
        <f>SUM(E224:E235)/C235</f>
        <v>1.4816666666666667</v>
      </c>
      <c r="F236" s="29">
        <f>SUM(F224:F235)/C235</f>
        <v>4.8166666666666673</v>
      </c>
      <c r="G236" s="31">
        <f t="shared" si="38"/>
        <v>0.30761245674740478</v>
      </c>
      <c r="H236" s="32">
        <f t="shared" si="39"/>
        <v>3.3350000000000009</v>
      </c>
      <c r="I236" s="33"/>
      <c r="J236" s="9"/>
      <c r="K236" s="9"/>
      <c r="L236" s="91">
        <v>1</v>
      </c>
      <c r="M236" s="54">
        <f>$M$21</f>
        <v>196</v>
      </c>
      <c r="N236"/>
    </row>
    <row r="237" spans="1:14" ht="18" x14ac:dyDescent="0.3">
      <c r="A237" s="122"/>
      <c r="B237" s="9" t="s">
        <v>7</v>
      </c>
      <c r="C237" s="9"/>
      <c r="D237" s="9"/>
      <c r="E237" s="15"/>
      <c r="F237" s="15"/>
      <c r="G237" s="17"/>
      <c r="H237" s="35"/>
      <c r="I237" s="9"/>
      <c r="J237" s="9"/>
      <c r="K237" s="9"/>
      <c r="L237" s="23"/>
      <c r="M237" s="54"/>
      <c r="N237"/>
    </row>
    <row r="238" spans="1:14" ht="18" x14ac:dyDescent="0.3">
      <c r="A238" s="122"/>
      <c r="B238" s="9"/>
      <c r="C238" s="9"/>
      <c r="D238" s="10" t="str">
        <f t="shared" ref="D238:F251" si="40">D195</f>
        <v>Les Boissons  Gâteries</v>
      </c>
      <c r="E238" s="15"/>
      <c r="F238" s="15"/>
      <c r="G238" s="17"/>
      <c r="H238" s="35"/>
      <c r="I238" s="9"/>
      <c r="J238" s="9"/>
      <c r="K238" s="9"/>
      <c r="L238" s="23"/>
      <c r="M238" s="54"/>
      <c r="N238"/>
    </row>
    <row r="239" spans="1:14" ht="18" x14ac:dyDescent="0.3">
      <c r="A239" s="122"/>
      <c r="B239" s="9">
        <f t="shared" ref="B239:C250" si="41">B196</f>
        <v>13</v>
      </c>
      <c r="C239" s="9">
        <f t="shared" si="41"/>
        <v>1</v>
      </c>
      <c r="D239" s="9" t="str">
        <f t="shared" si="40"/>
        <v>Boisson spécial numéro 1</v>
      </c>
      <c r="E239" s="93">
        <f t="shared" si="40"/>
        <v>2.2799999999999998</v>
      </c>
      <c r="F239" s="16">
        <f t="shared" si="40"/>
        <v>6.6</v>
      </c>
      <c r="G239" s="17">
        <f>E239/F239</f>
        <v>0.34545454545454546</v>
      </c>
      <c r="H239" s="18">
        <f>F239-E239</f>
        <v>4.32</v>
      </c>
      <c r="I239" s="11"/>
      <c r="J239" s="9"/>
      <c r="K239" s="9"/>
      <c r="L239" s="23"/>
      <c r="M239" s="54"/>
      <c r="N239"/>
    </row>
    <row r="240" spans="1:14" ht="18" x14ac:dyDescent="0.3">
      <c r="A240" s="122"/>
      <c r="B240" s="9">
        <f t="shared" si="41"/>
        <v>14</v>
      </c>
      <c r="C240" s="9">
        <f t="shared" si="41"/>
        <v>2</v>
      </c>
      <c r="D240" s="9" t="str">
        <f t="shared" si="40"/>
        <v>Boisson spécial numéro 2</v>
      </c>
      <c r="E240" s="93">
        <f t="shared" si="40"/>
        <v>2.66</v>
      </c>
      <c r="F240" s="16">
        <f t="shared" si="40"/>
        <v>7.6</v>
      </c>
      <c r="G240" s="17">
        <f>E240/F240</f>
        <v>0.35000000000000003</v>
      </c>
      <c r="H240" s="18">
        <f>F240-E240</f>
        <v>4.9399999999999995</v>
      </c>
      <c r="I240" s="11"/>
      <c r="J240" s="9"/>
      <c r="K240" s="9"/>
      <c r="L240" s="23"/>
      <c r="M240" s="54"/>
      <c r="N240"/>
    </row>
    <row r="241" spans="1:14" ht="18" x14ac:dyDescent="0.3">
      <c r="A241" s="122"/>
      <c r="B241" s="9">
        <f t="shared" si="41"/>
        <v>15</v>
      </c>
      <c r="C241" s="9">
        <f t="shared" si="41"/>
        <v>3</v>
      </c>
      <c r="D241" s="9" t="str">
        <f t="shared" si="40"/>
        <v>Boisson spécial numéro 3</v>
      </c>
      <c r="E241" s="93">
        <f t="shared" si="40"/>
        <v>2.74</v>
      </c>
      <c r="F241" s="16">
        <f t="shared" si="40"/>
        <v>8</v>
      </c>
      <c r="G241" s="17">
        <f>E241/F241</f>
        <v>0.34250000000000003</v>
      </c>
      <c r="H241" s="18">
        <f>F241-E241</f>
        <v>5.26</v>
      </c>
      <c r="I241" s="11"/>
      <c r="J241" s="9"/>
      <c r="K241" s="9"/>
      <c r="L241" s="23"/>
      <c r="M241" s="54"/>
      <c r="N241"/>
    </row>
    <row r="242" spans="1:14" ht="18" x14ac:dyDescent="0.3">
      <c r="A242" s="122"/>
      <c r="B242" s="9">
        <f t="shared" si="41"/>
        <v>16</v>
      </c>
      <c r="C242" s="9">
        <f t="shared" si="41"/>
        <v>4</v>
      </c>
      <c r="D242" s="9" t="str">
        <f t="shared" si="40"/>
        <v>Boisson spécial numéro 4</v>
      </c>
      <c r="E242" s="93">
        <f t="shared" si="40"/>
        <v>2.72</v>
      </c>
      <c r="F242" s="16">
        <f t="shared" si="40"/>
        <v>9</v>
      </c>
      <c r="G242" s="17">
        <f t="shared" ref="G242:G249" si="42">E242/F242</f>
        <v>0.30222222222222223</v>
      </c>
      <c r="H242" s="18">
        <f t="shared" ref="H242:H249" si="43">F242-E242</f>
        <v>6.2799999999999994</v>
      </c>
      <c r="I242" s="11"/>
      <c r="J242" s="9"/>
      <c r="K242" s="9"/>
      <c r="L242" s="23"/>
      <c r="M242" s="54"/>
      <c r="N242"/>
    </row>
    <row r="243" spans="1:14" ht="18" x14ac:dyDescent="0.3">
      <c r="A243" s="122"/>
      <c r="B243" s="9">
        <f t="shared" si="41"/>
        <v>17</v>
      </c>
      <c r="C243" s="9">
        <f t="shared" si="41"/>
        <v>5</v>
      </c>
      <c r="D243" s="9" t="str">
        <f t="shared" si="40"/>
        <v>Boisson spécial numéro 5</v>
      </c>
      <c r="E243" s="93">
        <f t="shared" si="40"/>
        <v>2.76</v>
      </c>
      <c r="F243" s="16">
        <f t="shared" si="40"/>
        <v>9.1999999999999993</v>
      </c>
      <c r="G243" s="17">
        <f t="shared" si="42"/>
        <v>0.3</v>
      </c>
      <c r="H243" s="18">
        <f t="shared" si="43"/>
        <v>6.4399999999999995</v>
      </c>
      <c r="I243" s="11"/>
      <c r="J243" s="9"/>
      <c r="K243" s="9"/>
      <c r="L243" s="23"/>
      <c r="M243" s="54"/>
      <c r="N243"/>
    </row>
    <row r="244" spans="1:14" ht="18" x14ac:dyDescent="0.3">
      <c r="A244" s="122"/>
      <c r="B244" s="9">
        <f t="shared" si="41"/>
        <v>18</v>
      </c>
      <c r="C244" s="9">
        <f t="shared" si="41"/>
        <v>6</v>
      </c>
      <c r="D244" s="9" t="str">
        <f t="shared" si="40"/>
        <v>Boisson spécial numéro 6</v>
      </c>
      <c r="E244" s="93">
        <f t="shared" si="40"/>
        <v>2.8</v>
      </c>
      <c r="F244" s="16">
        <f t="shared" si="40"/>
        <v>9.4</v>
      </c>
      <c r="G244" s="17">
        <f t="shared" si="42"/>
        <v>0.2978723404255319</v>
      </c>
      <c r="H244" s="18">
        <f t="shared" si="43"/>
        <v>6.6000000000000005</v>
      </c>
      <c r="I244" s="11"/>
      <c r="J244" s="9"/>
      <c r="K244" s="9"/>
      <c r="L244" s="23"/>
      <c r="M244" s="54"/>
      <c r="N244"/>
    </row>
    <row r="245" spans="1:14" ht="18" x14ac:dyDescent="0.3">
      <c r="A245" s="122"/>
      <c r="B245" s="9">
        <f t="shared" si="41"/>
        <v>19</v>
      </c>
      <c r="C245" s="9">
        <f t="shared" si="41"/>
        <v>7</v>
      </c>
      <c r="D245" s="9" t="str">
        <f t="shared" si="40"/>
        <v>Boisson spécial numéro 7</v>
      </c>
      <c r="E245" s="93">
        <f t="shared" si="40"/>
        <v>2.82</v>
      </c>
      <c r="F245" s="16">
        <f t="shared" si="40"/>
        <v>9.6</v>
      </c>
      <c r="G245" s="17">
        <f t="shared" si="42"/>
        <v>0.29375000000000001</v>
      </c>
      <c r="H245" s="18">
        <f t="shared" si="43"/>
        <v>6.7799999999999994</v>
      </c>
      <c r="I245" s="11"/>
      <c r="J245" s="9"/>
      <c r="K245" s="9"/>
      <c r="L245" s="23"/>
      <c r="M245" s="54"/>
      <c r="N245"/>
    </row>
    <row r="246" spans="1:14" ht="18" x14ac:dyDescent="0.3">
      <c r="A246" s="122"/>
      <c r="B246" s="9">
        <f t="shared" si="41"/>
        <v>20</v>
      </c>
      <c r="C246" s="9">
        <f t="shared" si="41"/>
        <v>8</v>
      </c>
      <c r="D246" s="9" t="str">
        <f t="shared" si="40"/>
        <v>Boisson spécial numéro 8</v>
      </c>
      <c r="E246" s="93">
        <f t="shared" si="40"/>
        <v>2.86</v>
      </c>
      <c r="F246" s="16">
        <f t="shared" si="40"/>
        <v>9.8000000000000007</v>
      </c>
      <c r="G246" s="17">
        <f t="shared" si="42"/>
        <v>0.2918367346938775</v>
      </c>
      <c r="H246" s="18">
        <f t="shared" si="43"/>
        <v>6.9400000000000013</v>
      </c>
      <c r="I246" s="11"/>
      <c r="J246" s="9"/>
      <c r="K246" s="9"/>
      <c r="L246" s="23"/>
      <c r="M246" s="54"/>
      <c r="N246"/>
    </row>
    <row r="247" spans="1:14" ht="18" x14ac:dyDescent="0.3">
      <c r="A247" s="122"/>
      <c r="B247" s="9">
        <f t="shared" si="41"/>
        <v>21</v>
      </c>
      <c r="C247" s="9">
        <f t="shared" si="41"/>
        <v>9</v>
      </c>
      <c r="D247" s="9" t="str">
        <f t="shared" si="40"/>
        <v>Boisson spécial numéro 9</v>
      </c>
      <c r="E247" s="93">
        <f t="shared" si="40"/>
        <v>2.9</v>
      </c>
      <c r="F247" s="16">
        <f t="shared" si="40"/>
        <v>10</v>
      </c>
      <c r="G247" s="17">
        <f t="shared" si="42"/>
        <v>0.28999999999999998</v>
      </c>
      <c r="H247" s="18">
        <f t="shared" si="43"/>
        <v>7.1</v>
      </c>
      <c r="I247" s="11"/>
      <c r="J247" s="9"/>
      <c r="K247" s="9"/>
      <c r="L247" s="23"/>
      <c r="M247" s="54"/>
      <c r="N247"/>
    </row>
    <row r="248" spans="1:14" ht="18" x14ac:dyDescent="0.3">
      <c r="A248" s="122"/>
      <c r="B248" s="9">
        <f t="shared" si="41"/>
        <v>22</v>
      </c>
      <c r="C248" s="9">
        <f t="shared" si="41"/>
        <v>10</v>
      </c>
      <c r="D248" s="9" t="str">
        <f t="shared" si="40"/>
        <v>Boisson spécial numéro 10</v>
      </c>
      <c r="E248" s="93">
        <f t="shared" si="40"/>
        <v>2.98</v>
      </c>
      <c r="F248" s="16">
        <f t="shared" si="40"/>
        <v>10.4</v>
      </c>
      <c r="G248" s="17">
        <f t="shared" si="42"/>
        <v>0.28653846153846152</v>
      </c>
      <c r="H248" s="18">
        <f t="shared" si="43"/>
        <v>7.42</v>
      </c>
      <c r="I248" s="11"/>
      <c r="J248" s="9"/>
      <c r="K248" s="9"/>
      <c r="L248" s="23"/>
      <c r="M248" s="54"/>
      <c r="N248"/>
    </row>
    <row r="249" spans="1:14" ht="18" x14ac:dyDescent="0.3">
      <c r="A249" s="122"/>
      <c r="B249" s="9">
        <f t="shared" si="41"/>
        <v>23</v>
      </c>
      <c r="C249" s="9">
        <f t="shared" si="41"/>
        <v>11</v>
      </c>
      <c r="D249" s="9" t="str">
        <f t="shared" si="40"/>
        <v>Boisson spécial numéro 11</v>
      </c>
      <c r="E249" s="93">
        <f t="shared" si="40"/>
        <v>3.18</v>
      </c>
      <c r="F249" s="16">
        <f t="shared" si="40"/>
        <v>11.6</v>
      </c>
      <c r="G249" s="17">
        <f t="shared" si="42"/>
        <v>0.27413793103448281</v>
      </c>
      <c r="H249" s="18">
        <f t="shared" si="43"/>
        <v>8.42</v>
      </c>
      <c r="I249" s="11"/>
      <c r="J249" s="9"/>
      <c r="K249" s="9"/>
      <c r="L249" s="23"/>
      <c r="M249" s="54"/>
      <c r="N249"/>
    </row>
    <row r="250" spans="1:14" ht="18" x14ac:dyDescent="0.3">
      <c r="A250" s="122"/>
      <c r="B250" s="9">
        <f t="shared" si="41"/>
        <v>24</v>
      </c>
      <c r="C250" s="9">
        <f t="shared" si="41"/>
        <v>12</v>
      </c>
      <c r="D250" s="9" t="str">
        <f t="shared" si="40"/>
        <v>Boisson spécial numéro 12</v>
      </c>
      <c r="E250" s="93">
        <f t="shared" si="40"/>
        <v>3.48</v>
      </c>
      <c r="F250" s="16">
        <f t="shared" si="40"/>
        <v>13.2</v>
      </c>
      <c r="G250" s="17">
        <f>E250/F250</f>
        <v>0.26363636363636367</v>
      </c>
      <c r="H250" s="18">
        <f>F250-E250</f>
        <v>9.7199999999999989</v>
      </c>
      <c r="I250" s="11"/>
      <c r="J250" s="9"/>
      <c r="K250" s="9"/>
      <c r="L250" s="23"/>
      <c r="M250" s="54"/>
      <c r="N250"/>
    </row>
    <row r="251" spans="1:14" ht="19" x14ac:dyDescent="0.35">
      <c r="A251" s="122"/>
      <c r="B251" s="9"/>
      <c r="C251" s="9"/>
      <c r="D251" s="10" t="str">
        <f t="shared" si="40"/>
        <v>CmO—PmO—Beverage Cost—Marge brute</v>
      </c>
      <c r="E251" s="29">
        <f>SUM(E239:E250)/C250</f>
        <v>2.8483333333333332</v>
      </c>
      <c r="F251" s="29">
        <f>SUM(F239:F250)/C250</f>
        <v>9.5333333333333332</v>
      </c>
      <c r="G251" s="36">
        <f>E251/F251</f>
        <v>0.29877622377622376</v>
      </c>
      <c r="H251" s="32">
        <f>F251-E251</f>
        <v>6.6850000000000005</v>
      </c>
      <c r="I251" s="33"/>
      <c r="J251" s="9"/>
      <c r="K251" s="9"/>
      <c r="L251" s="91">
        <v>1</v>
      </c>
      <c r="M251" s="54">
        <f>$M$21</f>
        <v>196</v>
      </c>
      <c r="N251"/>
    </row>
    <row r="252" spans="1:14" ht="19" thickBot="1" x14ac:dyDescent="0.35">
      <c r="A252" s="122"/>
      <c r="B252" s="9"/>
      <c r="C252" s="9"/>
      <c r="D252" s="9"/>
      <c r="E252" s="15"/>
      <c r="F252" s="15"/>
      <c r="G252" s="12"/>
      <c r="H252" s="35"/>
      <c r="I252" s="9"/>
      <c r="J252" s="9"/>
      <c r="K252" s="9"/>
      <c r="L252" s="23"/>
      <c r="M252" s="54"/>
      <c r="N252"/>
    </row>
    <row r="253" spans="1:14" ht="21" thickTop="1" thickBot="1" x14ac:dyDescent="0.4">
      <c r="A253" s="122"/>
      <c r="B253" s="9"/>
      <c r="C253" s="37"/>
      <c r="D253" s="38"/>
      <c r="E253" s="39"/>
      <c r="F253" s="39"/>
      <c r="G253" s="40"/>
      <c r="H253" s="41"/>
      <c r="I253" s="42"/>
      <c r="J253" s="9"/>
      <c r="K253" s="9"/>
      <c r="L253" s="23"/>
      <c r="M253" s="54"/>
      <c r="N253"/>
    </row>
    <row r="254" spans="1:14" ht="20" thickTop="1" thickBot="1" x14ac:dyDescent="0.35">
      <c r="A254" s="122"/>
      <c r="B254" s="9"/>
      <c r="C254" s="44"/>
      <c r="D254" s="10"/>
      <c r="E254" s="45" t="str">
        <f>E211</f>
        <v>CmO</v>
      </c>
      <c r="F254" s="45" t="str">
        <f>F211</f>
        <v>PmO</v>
      </c>
      <c r="G254" s="46" t="str">
        <f>G211</f>
        <v>F&amp;BCmO</v>
      </c>
      <c r="H254" s="47" t="str">
        <f>H211</f>
        <v>BmO</v>
      </c>
      <c r="I254" s="48"/>
      <c r="J254" s="9"/>
      <c r="K254" s="9"/>
      <c r="L254" s="23"/>
      <c r="M254" s="54"/>
      <c r="N254"/>
    </row>
    <row r="255" spans="1:14" ht="19" thickTop="1" x14ac:dyDescent="0.3">
      <c r="A255" s="122"/>
      <c r="B255" s="9"/>
      <c r="C255" s="44"/>
      <c r="D255" s="49" t="str">
        <f>D212</f>
        <v>OFFRE TOTALE AVEC LES GÂTERIES ET LES CAFÉS GÂTERIES</v>
      </c>
      <c r="E255" s="15"/>
      <c r="F255" s="15"/>
      <c r="G255" s="12"/>
      <c r="H255" s="35"/>
      <c r="I255" s="50"/>
      <c r="J255" s="9"/>
      <c r="K255" s="9"/>
      <c r="L255" s="23"/>
      <c r="M255" s="54"/>
      <c r="N255"/>
    </row>
    <row r="256" spans="1:14" ht="19" x14ac:dyDescent="0.35">
      <c r="A256" s="122"/>
      <c r="B256" s="9"/>
      <c r="C256" s="44"/>
      <c r="D256" s="10" t="str">
        <f>D213</f>
        <v>CmO—PmO—F&amp;B cost moyen offert—Marge brute</v>
      </c>
      <c r="E256" s="30">
        <f>+(E224+E225+E226+E227+E228+E229+E230+E231+E232+E233+E234+E235+E239+E240+E241+E242+E243+E244+E245+E246+E247+E248+E249+E250)/B250</f>
        <v>2.1649999999999996</v>
      </c>
      <c r="F256" s="30">
        <f>+(F224+F225+F226+F227+F228+F229+F230+F231+F232+F233+F234+F235+F239+F240+F241+F242+F243+F244+F245+F246+F247+F248+F249+F250)/B250</f>
        <v>7.1749999999999998</v>
      </c>
      <c r="G256" s="51">
        <f>E256/F256</f>
        <v>0.30174216027874562</v>
      </c>
      <c r="H256" s="52">
        <f>F256-E256</f>
        <v>5.01</v>
      </c>
      <c r="I256" s="53"/>
      <c r="J256" s="9"/>
      <c r="K256" s="9"/>
      <c r="L256" s="23">
        <f>L213</f>
        <v>2</v>
      </c>
      <c r="M256" s="54">
        <f>$M$21</f>
        <v>196</v>
      </c>
      <c r="N256"/>
    </row>
    <row r="257" spans="1:14" ht="18" x14ac:dyDescent="0.3">
      <c r="A257" s="122"/>
      <c r="B257" s="9"/>
      <c r="C257" s="44"/>
      <c r="D257" s="9"/>
      <c r="E257" s="55"/>
      <c r="F257" s="55"/>
      <c r="G257" s="56"/>
      <c r="H257" s="57"/>
      <c r="I257" s="58"/>
      <c r="J257" s="9"/>
      <c r="K257" s="9"/>
      <c r="L257" s="23"/>
      <c r="M257" s="54"/>
      <c r="N257"/>
    </row>
    <row r="258" spans="1:14" ht="19" thickBot="1" x14ac:dyDescent="0.35">
      <c r="A258" s="123"/>
      <c r="B258" s="9"/>
      <c r="C258" s="59"/>
      <c r="D258" s="60"/>
      <c r="E258" s="61"/>
      <c r="F258" s="61"/>
      <c r="G258" s="62"/>
      <c r="H258" s="63"/>
      <c r="I258" s="64"/>
      <c r="J258" s="9"/>
      <c r="K258" s="9"/>
      <c r="L258" s="65"/>
      <c r="M258" s="98"/>
      <c r="N258"/>
    </row>
    <row r="259" spans="1:14" ht="19" thickTop="1" x14ac:dyDescent="0.3">
      <c r="L259" s="69"/>
      <c r="M259" s="99"/>
      <c r="N259"/>
    </row>
    <row r="260" spans="1:14" ht="23" x14ac:dyDescent="0.3">
      <c r="A260" s="121" t="s">
        <v>42</v>
      </c>
      <c r="D260" s="2" t="s">
        <v>60</v>
      </c>
      <c r="F260" s="3"/>
      <c r="L260" s="69"/>
      <c r="M260" s="99"/>
      <c r="N260"/>
    </row>
    <row r="261" spans="1:14" ht="24" thickBot="1" x14ac:dyDescent="0.35">
      <c r="A261" s="122"/>
      <c r="D261" s="4"/>
      <c r="L261" s="69"/>
      <c r="M261" s="99"/>
      <c r="N261"/>
    </row>
    <row r="262" spans="1:14" ht="23" customHeight="1" thickTop="1" x14ac:dyDescent="0.25">
      <c r="A262" s="122"/>
      <c r="D262" s="4"/>
      <c r="E262" s="108" t="str">
        <f>E219</f>
        <v>Coûts des ressources alimentaires pour chaque produit offert (voir recettes standardisées)</v>
      </c>
      <c r="F262" s="108" t="str">
        <f>F219</f>
        <v>Prix de vente par produit offert</v>
      </c>
      <c r="G262" s="108" t="str">
        <f>G219</f>
        <v xml:space="preserve">« Food &amp; Beverage Cost » </v>
      </c>
      <c r="H262" s="108" t="str">
        <f>H219</f>
        <v>Marge brute gagnée sur la vente de chaque produit offert</v>
      </c>
      <c r="I262" s="5"/>
      <c r="L262" s="113" t="s">
        <v>5</v>
      </c>
      <c r="M262" s="118" t="s">
        <v>6</v>
      </c>
      <c r="N262"/>
    </row>
    <row r="263" spans="1:14" ht="22" x14ac:dyDescent="0.25">
      <c r="A263" s="122"/>
      <c r="D263" s="4"/>
      <c r="E263" s="109"/>
      <c r="F263" s="111"/>
      <c r="G263" s="111"/>
      <c r="H263" s="111"/>
      <c r="I263" s="6"/>
      <c r="L263" s="114"/>
      <c r="M263" s="119"/>
      <c r="N263"/>
    </row>
    <row r="264" spans="1:14" ht="14" customHeight="1" thickBot="1" x14ac:dyDescent="0.25">
      <c r="A264" s="122"/>
      <c r="E264" s="110"/>
      <c r="F264" s="112"/>
      <c r="G264" s="112"/>
      <c r="H264" s="112"/>
      <c r="I264" s="6"/>
      <c r="L264" s="115"/>
      <c r="M264" s="120"/>
      <c r="N264"/>
    </row>
    <row r="265" spans="1:14" ht="20" thickTop="1" thickBot="1" x14ac:dyDescent="0.35">
      <c r="A265" s="122"/>
      <c r="B265" s="1" t="s">
        <v>7</v>
      </c>
      <c r="E265" s="3"/>
      <c r="F265" s="3"/>
      <c r="G265" s="7"/>
      <c r="L265" s="69"/>
      <c r="M265" s="99"/>
      <c r="N265"/>
    </row>
    <row r="266" spans="1:14" ht="19" thickTop="1" x14ac:dyDescent="0.3">
      <c r="A266" s="122"/>
      <c r="B266" s="9"/>
      <c r="C266" s="9"/>
      <c r="D266" s="10" t="str">
        <f t="shared" ref="D266:F279" si="44">D223</f>
        <v>Les Petite Gâteries</v>
      </c>
      <c r="E266" s="11"/>
      <c r="F266" s="11"/>
      <c r="G266" s="12"/>
      <c r="H266" s="9"/>
      <c r="I266" s="9"/>
      <c r="J266" s="9"/>
      <c r="K266" s="9"/>
      <c r="L266" s="13"/>
      <c r="M266" s="97"/>
      <c r="N266"/>
    </row>
    <row r="267" spans="1:14" ht="18" x14ac:dyDescent="0.3">
      <c r="A267" s="122"/>
      <c r="B267" s="9">
        <f t="shared" ref="B267:C278" si="45">B224</f>
        <v>1</v>
      </c>
      <c r="C267" s="9">
        <f t="shared" si="45"/>
        <v>1</v>
      </c>
      <c r="D267" s="9" t="str">
        <f t="shared" si="44"/>
        <v>Petite Gâterie 1</v>
      </c>
      <c r="E267" s="93">
        <f t="shared" si="44"/>
        <v>1.21</v>
      </c>
      <c r="F267" s="68">
        <f t="shared" si="44"/>
        <v>3.3</v>
      </c>
      <c r="G267" s="17">
        <f t="shared" ref="G267:G279" si="46">E267/F267</f>
        <v>0.3666666666666667</v>
      </c>
      <c r="H267" s="18">
        <f t="shared" ref="H267:H279" si="47">F267-E267</f>
        <v>2.09</v>
      </c>
      <c r="I267" s="11">
        <f>F267</f>
        <v>3.3</v>
      </c>
      <c r="J267" s="106">
        <f>3/12</f>
        <v>0.25</v>
      </c>
      <c r="K267" s="19"/>
      <c r="L267" s="20"/>
      <c r="M267" s="54"/>
      <c r="N267"/>
    </row>
    <row r="268" spans="1:14" ht="18" x14ac:dyDescent="0.3">
      <c r="A268" s="122"/>
      <c r="B268" s="9">
        <f t="shared" si="45"/>
        <v>2</v>
      </c>
      <c r="C268" s="9">
        <f t="shared" si="45"/>
        <v>2</v>
      </c>
      <c r="D268" s="9" t="str">
        <f t="shared" si="44"/>
        <v>Petite Gâterie 2</v>
      </c>
      <c r="E268" s="93">
        <f t="shared" si="44"/>
        <v>1.31</v>
      </c>
      <c r="F268" s="68">
        <f t="shared" si="44"/>
        <v>3.8</v>
      </c>
      <c r="G268" s="17">
        <f t="shared" si="46"/>
        <v>0.34473684210526317</v>
      </c>
      <c r="H268" s="18">
        <f t="shared" si="47"/>
        <v>2.4899999999999998</v>
      </c>
      <c r="I268" s="11"/>
      <c r="J268" s="103"/>
      <c r="K268" s="22"/>
      <c r="L268" s="23"/>
      <c r="M268" s="54"/>
      <c r="N268"/>
    </row>
    <row r="269" spans="1:14" ht="19" thickBot="1" x14ac:dyDescent="0.35">
      <c r="A269" s="122"/>
      <c r="B269" s="24">
        <f t="shared" si="45"/>
        <v>3</v>
      </c>
      <c r="C269" s="24">
        <f t="shared" si="45"/>
        <v>3</v>
      </c>
      <c r="D269" s="24" t="str">
        <f t="shared" si="44"/>
        <v>Petite Gâterie 3</v>
      </c>
      <c r="E269" s="94">
        <f t="shared" si="44"/>
        <v>1.35</v>
      </c>
      <c r="F269" s="88">
        <f t="shared" si="44"/>
        <v>4</v>
      </c>
      <c r="G269" s="26">
        <f t="shared" si="46"/>
        <v>0.33750000000000002</v>
      </c>
      <c r="H269" s="27">
        <f t="shared" si="47"/>
        <v>2.65</v>
      </c>
      <c r="I269" s="28">
        <f>+I267+1.066667</f>
        <v>4.3666669999999996</v>
      </c>
      <c r="J269" s="107"/>
      <c r="K269" s="22"/>
      <c r="L269" s="23"/>
      <c r="M269" s="54"/>
      <c r="N269"/>
    </row>
    <row r="270" spans="1:14" ht="18" x14ac:dyDescent="0.3">
      <c r="A270" s="122"/>
      <c r="B270" s="9">
        <f t="shared" si="45"/>
        <v>4</v>
      </c>
      <c r="C270" s="9">
        <f t="shared" si="45"/>
        <v>4</v>
      </c>
      <c r="D270" s="9" t="str">
        <f t="shared" si="44"/>
        <v>Petite Gâterie 4</v>
      </c>
      <c r="E270" s="93">
        <f t="shared" si="44"/>
        <v>1.4</v>
      </c>
      <c r="F270" s="68">
        <f t="shared" si="44"/>
        <v>4.5</v>
      </c>
      <c r="G270" s="17">
        <f t="shared" si="46"/>
        <v>0.31111111111111112</v>
      </c>
      <c r="H270" s="18">
        <f t="shared" si="47"/>
        <v>3.1</v>
      </c>
      <c r="I270" s="11">
        <f>+I269+0.01</f>
        <v>4.3766669999999994</v>
      </c>
      <c r="J270" s="102">
        <f>7/12</f>
        <v>0.58333333333333337</v>
      </c>
      <c r="K270" s="19"/>
      <c r="L270" s="23"/>
      <c r="M270" s="54"/>
      <c r="N270"/>
    </row>
    <row r="271" spans="1:14" ht="18" x14ac:dyDescent="0.3">
      <c r="A271" s="122"/>
      <c r="B271" s="9">
        <f t="shared" si="45"/>
        <v>5</v>
      </c>
      <c r="C271" s="9">
        <f t="shared" si="45"/>
        <v>5</v>
      </c>
      <c r="D271" s="9" t="str">
        <f t="shared" si="44"/>
        <v>Petite Gâterie 5</v>
      </c>
      <c r="E271" s="93">
        <f t="shared" si="44"/>
        <v>1.24</v>
      </c>
      <c r="F271" s="68">
        <f t="shared" si="44"/>
        <v>4.5999999999999996</v>
      </c>
      <c r="G271" s="17">
        <f t="shared" si="46"/>
        <v>0.26956521739130435</v>
      </c>
      <c r="H271" s="18">
        <f t="shared" si="47"/>
        <v>3.3599999999999994</v>
      </c>
      <c r="I271" s="11"/>
      <c r="J271" s="103"/>
      <c r="K271" s="22"/>
      <c r="L271" s="23"/>
      <c r="M271" s="54"/>
      <c r="N271"/>
    </row>
    <row r="272" spans="1:14" ht="18" x14ac:dyDescent="0.3">
      <c r="A272" s="122"/>
      <c r="B272" s="9">
        <f t="shared" si="45"/>
        <v>6</v>
      </c>
      <c r="C272" s="9">
        <f t="shared" si="45"/>
        <v>6</v>
      </c>
      <c r="D272" s="9" t="str">
        <f t="shared" si="44"/>
        <v>Petite Gâterie 6</v>
      </c>
      <c r="E272" s="93">
        <f t="shared" si="44"/>
        <v>1.39</v>
      </c>
      <c r="F272" s="68">
        <f t="shared" si="44"/>
        <v>4.7</v>
      </c>
      <c r="G272" s="17">
        <f t="shared" si="46"/>
        <v>0.29574468085106381</v>
      </c>
      <c r="H272" s="18">
        <f t="shared" si="47"/>
        <v>3.3100000000000005</v>
      </c>
      <c r="I272" s="11"/>
      <c r="J272" s="103"/>
      <c r="K272" s="22"/>
      <c r="L272" s="23"/>
      <c r="M272" s="54"/>
      <c r="N272"/>
    </row>
    <row r="273" spans="1:14" ht="18" x14ac:dyDescent="0.3">
      <c r="A273" s="122"/>
      <c r="B273" s="9">
        <f t="shared" si="45"/>
        <v>7</v>
      </c>
      <c r="C273" s="9">
        <f t="shared" si="45"/>
        <v>7</v>
      </c>
      <c r="D273" s="9" t="str">
        <f t="shared" si="44"/>
        <v>Petite Gâterie 7</v>
      </c>
      <c r="E273" s="93">
        <f t="shared" si="44"/>
        <v>1.51</v>
      </c>
      <c r="F273" s="68">
        <f t="shared" si="44"/>
        <v>4.8</v>
      </c>
      <c r="G273" s="17">
        <f t="shared" si="46"/>
        <v>0.31458333333333333</v>
      </c>
      <c r="H273" s="18">
        <f t="shared" si="47"/>
        <v>3.29</v>
      </c>
      <c r="I273" s="11"/>
      <c r="J273" s="103"/>
      <c r="K273" s="22"/>
      <c r="L273" s="23"/>
      <c r="M273" s="54"/>
      <c r="N273"/>
    </row>
    <row r="274" spans="1:14" ht="18" x14ac:dyDescent="0.3">
      <c r="A274" s="122"/>
      <c r="B274" s="9">
        <f t="shared" si="45"/>
        <v>8</v>
      </c>
      <c r="C274" s="9">
        <f t="shared" si="45"/>
        <v>8</v>
      </c>
      <c r="D274" s="9" t="str">
        <f t="shared" si="44"/>
        <v>Petite Gâterie 8</v>
      </c>
      <c r="E274" s="93">
        <f t="shared" si="44"/>
        <v>1.53</v>
      </c>
      <c r="F274" s="68">
        <f t="shared" si="44"/>
        <v>4.9000000000000004</v>
      </c>
      <c r="G274" s="17">
        <f t="shared" si="46"/>
        <v>0.31224489795918364</v>
      </c>
      <c r="H274" s="18">
        <f t="shared" si="47"/>
        <v>3.37</v>
      </c>
      <c r="I274" s="11"/>
      <c r="J274" s="103"/>
      <c r="K274" s="22"/>
      <c r="L274" s="23"/>
      <c r="M274" s="54"/>
      <c r="N274"/>
    </row>
    <row r="275" spans="1:14" ht="18" x14ac:dyDescent="0.3">
      <c r="A275" s="122"/>
      <c r="B275" s="9">
        <f t="shared" si="45"/>
        <v>9</v>
      </c>
      <c r="C275" s="9">
        <f t="shared" si="45"/>
        <v>9</v>
      </c>
      <c r="D275" s="9" t="str">
        <f t="shared" si="44"/>
        <v>Petite Gâterie 9</v>
      </c>
      <c r="E275" s="93">
        <f t="shared" si="44"/>
        <v>1.55</v>
      </c>
      <c r="F275" s="68">
        <f t="shared" si="44"/>
        <v>5</v>
      </c>
      <c r="G275" s="17">
        <f t="shared" si="46"/>
        <v>0.31</v>
      </c>
      <c r="H275" s="18">
        <f t="shared" si="47"/>
        <v>3.45</v>
      </c>
      <c r="I275" s="11"/>
      <c r="J275" s="103"/>
      <c r="K275" s="22"/>
      <c r="L275" s="23"/>
      <c r="M275" s="54"/>
      <c r="N275"/>
    </row>
    <row r="276" spans="1:14" ht="19" thickBot="1" x14ac:dyDescent="0.35">
      <c r="A276" s="122"/>
      <c r="B276" s="24">
        <f t="shared" si="45"/>
        <v>10</v>
      </c>
      <c r="C276" s="24">
        <f t="shared" si="45"/>
        <v>10</v>
      </c>
      <c r="D276" s="24" t="str">
        <f t="shared" si="44"/>
        <v>Petite Gâterie 10</v>
      </c>
      <c r="E276" s="94">
        <f t="shared" si="44"/>
        <v>1.59</v>
      </c>
      <c r="F276" s="88">
        <f t="shared" si="44"/>
        <v>5.2</v>
      </c>
      <c r="G276" s="26">
        <f t="shared" si="46"/>
        <v>0.30576923076923079</v>
      </c>
      <c r="H276" s="27">
        <f t="shared" si="47"/>
        <v>3.6100000000000003</v>
      </c>
      <c r="I276" s="28">
        <f>+I269+1.066667</f>
        <v>5.4333339999999994</v>
      </c>
      <c r="J276" s="107"/>
      <c r="K276" s="22"/>
      <c r="L276" s="23"/>
      <c r="M276" s="54"/>
      <c r="N276"/>
    </row>
    <row r="277" spans="1:14" ht="18" x14ac:dyDescent="0.3">
      <c r="A277" s="122"/>
      <c r="B277" s="9">
        <f t="shared" si="45"/>
        <v>11</v>
      </c>
      <c r="C277" s="9">
        <f t="shared" si="45"/>
        <v>11</v>
      </c>
      <c r="D277" s="9" t="str">
        <f t="shared" si="44"/>
        <v>Petite Gâterie 11</v>
      </c>
      <c r="E277" s="93">
        <f t="shared" si="44"/>
        <v>1.83</v>
      </c>
      <c r="F277" s="68">
        <f t="shared" si="44"/>
        <v>6.4</v>
      </c>
      <c r="G277" s="17">
        <f t="shared" si="46"/>
        <v>0.28593750000000001</v>
      </c>
      <c r="H277" s="18">
        <f t="shared" si="47"/>
        <v>4.57</v>
      </c>
      <c r="I277" s="11">
        <f>+I276+0.01</f>
        <v>5.4433339999999992</v>
      </c>
      <c r="J277" s="102">
        <f>2/12</f>
        <v>0.16666666666666666</v>
      </c>
      <c r="K277" s="19"/>
      <c r="L277" s="23"/>
      <c r="M277" s="54"/>
      <c r="N277"/>
    </row>
    <row r="278" spans="1:14" ht="18" x14ac:dyDescent="0.3">
      <c r="A278" s="122"/>
      <c r="B278" s="9">
        <f t="shared" si="45"/>
        <v>12</v>
      </c>
      <c r="C278" s="9">
        <f t="shared" si="45"/>
        <v>12</v>
      </c>
      <c r="D278" s="9" t="str">
        <f t="shared" si="44"/>
        <v>Petite Gâterie 12</v>
      </c>
      <c r="E278" s="93">
        <f t="shared" si="44"/>
        <v>1.87</v>
      </c>
      <c r="F278" s="68">
        <f t="shared" si="44"/>
        <v>6.6</v>
      </c>
      <c r="G278" s="17">
        <f t="shared" si="46"/>
        <v>0.28333333333333338</v>
      </c>
      <c r="H278" s="18">
        <f t="shared" si="47"/>
        <v>4.7299999999999995</v>
      </c>
      <c r="I278" s="11">
        <f>F278</f>
        <v>6.6</v>
      </c>
      <c r="J278" s="103"/>
      <c r="K278" s="22"/>
      <c r="L278" s="23"/>
      <c r="M278" s="54"/>
      <c r="N278"/>
    </row>
    <row r="279" spans="1:14" ht="19" x14ac:dyDescent="0.35">
      <c r="A279" s="122"/>
      <c r="B279" s="9"/>
      <c r="C279" s="9"/>
      <c r="D279" s="10" t="str">
        <f t="shared" si="44"/>
        <v>CmO—PmO—Food Cost—BmO</v>
      </c>
      <c r="E279" s="29">
        <f>SUM(E267:E278)/C278</f>
        <v>1.4816666666666667</v>
      </c>
      <c r="F279" s="29">
        <f>SUM(F267:F278)/C278</f>
        <v>4.8166666666666673</v>
      </c>
      <c r="G279" s="31">
        <f t="shared" si="46"/>
        <v>0.30761245674740478</v>
      </c>
      <c r="H279" s="32">
        <f t="shared" si="47"/>
        <v>3.3350000000000009</v>
      </c>
      <c r="I279" s="33"/>
      <c r="J279" s="9"/>
      <c r="K279" s="9"/>
      <c r="L279" s="91">
        <v>1</v>
      </c>
      <c r="M279" s="54">
        <f>$M$21</f>
        <v>196</v>
      </c>
      <c r="N279"/>
    </row>
    <row r="280" spans="1:14" ht="18" x14ac:dyDescent="0.3">
      <c r="A280" s="122"/>
      <c r="B280" s="9" t="s">
        <v>7</v>
      </c>
      <c r="C280" s="9"/>
      <c r="D280" s="9"/>
      <c r="E280" s="15"/>
      <c r="F280" s="15"/>
      <c r="G280" s="17"/>
      <c r="H280" s="35"/>
      <c r="I280" s="11"/>
      <c r="J280" s="9"/>
      <c r="K280" s="9"/>
      <c r="L280" s="23"/>
      <c r="M280" s="54"/>
      <c r="N280"/>
    </row>
    <row r="281" spans="1:14" ht="18" x14ac:dyDescent="0.3">
      <c r="A281" s="122"/>
      <c r="B281" s="9"/>
      <c r="C281" s="9"/>
      <c r="D281" s="10" t="str">
        <f t="shared" ref="D281:F294" si="48">D238</f>
        <v>Les Boissons  Gâteries</v>
      </c>
      <c r="E281" s="15"/>
      <c r="F281" s="15"/>
      <c r="G281" s="17"/>
      <c r="H281" s="35"/>
      <c r="I281" s="11"/>
      <c r="J281" s="9"/>
      <c r="K281" s="9"/>
      <c r="L281" s="23"/>
      <c r="M281" s="54"/>
      <c r="N281"/>
    </row>
    <row r="282" spans="1:14" ht="18" x14ac:dyDescent="0.3">
      <c r="A282" s="122"/>
      <c r="B282" s="9">
        <f t="shared" ref="B282:C293" si="49">B239</f>
        <v>13</v>
      </c>
      <c r="C282" s="9">
        <f t="shared" si="49"/>
        <v>1</v>
      </c>
      <c r="D282" s="9" t="str">
        <f t="shared" si="48"/>
        <v>Boisson spécial numéro 1</v>
      </c>
      <c r="E282" s="93">
        <f t="shared" si="48"/>
        <v>2.2799999999999998</v>
      </c>
      <c r="F282" s="68">
        <f>F239</f>
        <v>6.6</v>
      </c>
      <c r="G282" s="17">
        <f>E282/F282</f>
        <v>0.34545454545454546</v>
      </c>
      <c r="H282" s="18">
        <f>F282-E282</f>
        <v>4.32</v>
      </c>
      <c r="I282" s="11">
        <f>F282</f>
        <v>6.6</v>
      </c>
      <c r="J282" s="106">
        <f>3/12</f>
        <v>0.25</v>
      </c>
      <c r="K282" s="19"/>
      <c r="L282" s="23"/>
      <c r="M282" s="54"/>
      <c r="N282"/>
    </row>
    <row r="283" spans="1:14" ht="18" x14ac:dyDescent="0.3">
      <c r="A283" s="122"/>
      <c r="B283" s="9">
        <f t="shared" si="49"/>
        <v>14</v>
      </c>
      <c r="C283" s="9">
        <f t="shared" si="49"/>
        <v>2</v>
      </c>
      <c r="D283" s="9" t="str">
        <f t="shared" si="48"/>
        <v>Boisson spécial numéro 2</v>
      </c>
      <c r="E283" s="93">
        <f t="shared" si="48"/>
        <v>2.66</v>
      </c>
      <c r="F283" s="16">
        <f t="shared" si="48"/>
        <v>7.6</v>
      </c>
      <c r="G283" s="17">
        <f>E283/F283</f>
        <v>0.35000000000000003</v>
      </c>
      <c r="H283" s="18">
        <f>F283-E283</f>
        <v>4.9399999999999995</v>
      </c>
      <c r="I283" s="11"/>
      <c r="J283" s="103"/>
      <c r="K283" s="22"/>
      <c r="L283" s="23"/>
      <c r="M283" s="54"/>
      <c r="N283"/>
    </row>
    <row r="284" spans="1:14" ht="19" thickBot="1" x14ac:dyDescent="0.35">
      <c r="A284" s="122"/>
      <c r="B284" s="24">
        <f t="shared" si="49"/>
        <v>15</v>
      </c>
      <c r="C284" s="24">
        <f t="shared" si="49"/>
        <v>3</v>
      </c>
      <c r="D284" s="24" t="str">
        <f t="shared" si="48"/>
        <v>Boisson spécial numéro 3</v>
      </c>
      <c r="E284" s="94">
        <f t="shared" si="48"/>
        <v>2.74</v>
      </c>
      <c r="F284" s="25">
        <f t="shared" si="48"/>
        <v>8</v>
      </c>
      <c r="G284" s="26">
        <f>E284/F284</f>
        <v>0.34250000000000003</v>
      </c>
      <c r="H284" s="27">
        <f>F284-E284</f>
        <v>5.26</v>
      </c>
      <c r="I284" s="28">
        <f>+I282+2.133333</f>
        <v>8.733333</v>
      </c>
      <c r="J284" s="107"/>
      <c r="K284" s="22"/>
      <c r="L284" s="23"/>
      <c r="M284" s="54"/>
      <c r="N284"/>
    </row>
    <row r="285" spans="1:14" ht="18" x14ac:dyDescent="0.3">
      <c r="A285" s="122"/>
      <c r="B285" s="9">
        <f t="shared" si="49"/>
        <v>16</v>
      </c>
      <c r="C285" s="9">
        <f t="shared" si="49"/>
        <v>4</v>
      </c>
      <c r="D285" s="9" t="str">
        <f t="shared" si="48"/>
        <v>Boisson spécial numéro 4</v>
      </c>
      <c r="E285" s="93">
        <f t="shared" si="48"/>
        <v>2.72</v>
      </c>
      <c r="F285" s="16">
        <f t="shared" si="48"/>
        <v>9</v>
      </c>
      <c r="G285" s="17">
        <f t="shared" ref="G285:G292" si="50">E285/F285</f>
        <v>0.30222222222222223</v>
      </c>
      <c r="H285" s="18">
        <f t="shared" ref="H285:H292" si="51">F285-E285</f>
        <v>6.2799999999999994</v>
      </c>
      <c r="I285" s="11">
        <f>+I284+0.01</f>
        <v>8.7433329999999998</v>
      </c>
      <c r="J285" s="102">
        <f>7/12</f>
        <v>0.58333333333333337</v>
      </c>
      <c r="K285" s="19"/>
      <c r="L285" s="23"/>
      <c r="M285" s="54"/>
      <c r="N285"/>
    </row>
    <row r="286" spans="1:14" ht="18" x14ac:dyDescent="0.3">
      <c r="A286" s="122"/>
      <c r="B286" s="9">
        <f t="shared" si="49"/>
        <v>17</v>
      </c>
      <c r="C286" s="9">
        <f t="shared" si="49"/>
        <v>5</v>
      </c>
      <c r="D286" s="9" t="str">
        <f t="shared" si="48"/>
        <v>Boisson spécial numéro 5</v>
      </c>
      <c r="E286" s="93">
        <f t="shared" si="48"/>
        <v>2.76</v>
      </c>
      <c r="F286" s="16">
        <f t="shared" si="48"/>
        <v>9.1999999999999993</v>
      </c>
      <c r="G286" s="17">
        <f t="shared" si="50"/>
        <v>0.3</v>
      </c>
      <c r="H286" s="18">
        <f t="shared" si="51"/>
        <v>6.4399999999999995</v>
      </c>
      <c r="I286" s="11"/>
      <c r="J286" s="103"/>
      <c r="K286" s="22"/>
      <c r="L286" s="23"/>
      <c r="M286" s="54"/>
      <c r="N286"/>
    </row>
    <row r="287" spans="1:14" ht="18" x14ac:dyDescent="0.3">
      <c r="A287" s="122"/>
      <c r="B287" s="9">
        <f t="shared" si="49"/>
        <v>18</v>
      </c>
      <c r="C287" s="9">
        <f t="shared" si="49"/>
        <v>6</v>
      </c>
      <c r="D287" s="9" t="str">
        <f t="shared" si="48"/>
        <v>Boisson spécial numéro 6</v>
      </c>
      <c r="E287" s="93">
        <f t="shared" si="48"/>
        <v>2.8</v>
      </c>
      <c r="F287" s="16">
        <f t="shared" si="48"/>
        <v>9.4</v>
      </c>
      <c r="G287" s="17">
        <f t="shared" si="50"/>
        <v>0.2978723404255319</v>
      </c>
      <c r="H287" s="18">
        <f t="shared" si="51"/>
        <v>6.6000000000000005</v>
      </c>
      <c r="I287" s="11"/>
      <c r="J287" s="103"/>
      <c r="K287" s="22"/>
      <c r="L287" s="23"/>
      <c r="M287" s="54"/>
      <c r="N287"/>
    </row>
    <row r="288" spans="1:14" ht="18" x14ac:dyDescent="0.3">
      <c r="A288" s="122"/>
      <c r="B288" s="9">
        <f t="shared" si="49"/>
        <v>19</v>
      </c>
      <c r="C288" s="9">
        <f t="shared" si="49"/>
        <v>7</v>
      </c>
      <c r="D288" s="9" t="str">
        <f t="shared" si="48"/>
        <v>Boisson spécial numéro 7</v>
      </c>
      <c r="E288" s="93">
        <f t="shared" si="48"/>
        <v>2.82</v>
      </c>
      <c r="F288" s="16">
        <f t="shared" si="48"/>
        <v>9.6</v>
      </c>
      <c r="G288" s="17">
        <f t="shared" si="50"/>
        <v>0.29375000000000001</v>
      </c>
      <c r="H288" s="18">
        <f t="shared" si="51"/>
        <v>6.7799999999999994</v>
      </c>
      <c r="I288" s="11"/>
      <c r="J288" s="103"/>
      <c r="K288" s="22"/>
      <c r="L288" s="23"/>
      <c r="M288" s="54"/>
      <c r="N288"/>
    </row>
    <row r="289" spans="1:14" ht="18" x14ac:dyDescent="0.3">
      <c r="A289" s="122"/>
      <c r="B289" s="9">
        <f t="shared" si="49"/>
        <v>20</v>
      </c>
      <c r="C289" s="9">
        <f t="shared" si="49"/>
        <v>8</v>
      </c>
      <c r="D289" s="9" t="str">
        <f t="shared" si="48"/>
        <v>Boisson spécial numéro 8</v>
      </c>
      <c r="E289" s="93">
        <f t="shared" si="48"/>
        <v>2.86</v>
      </c>
      <c r="F289" s="16">
        <f t="shared" si="48"/>
        <v>9.8000000000000007</v>
      </c>
      <c r="G289" s="17">
        <f t="shared" si="50"/>
        <v>0.2918367346938775</v>
      </c>
      <c r="H289" s="18">
        <f t="shared" si="51"/>
        <v>6.9400000000000013</v>
      </c>
      <c r="I289" s="11"/>
      <c r="J289" s="103"/>
      <c r="K289" s="22"/>
      <c r="L289" s="23"/>
      <c r="M289" s="54"/>
      <c r="N289"/>
    </row>
    <row r="290" spans="1:14" ht="18" x14ac:dyDescent="0.3">
      <c r="A290" s="122"/>
      <c r="B290" s="9">
        <f t="shared" si="49"/>
        <v>21</v>
      </c>
      <c r="C290" s="9">
        <f t="shared" si="49"/>
        <v>9</v>
      </c>
      <c r="D290" s="9" t="str">
        <f t="shared" si="48"/>
        <v>Boisson spécial numéro 9</v>
      </c>
      <c r="E290" s="93">
        <f t="shared" si="48"/>
        <v>2.9</v>
      </c>
      <c r="F290" s="16">
        <f t="shared" si="48"/>
        <v>10</v>
      </c>
      <c r="G290" s="17">
        <f t="shared" si="50"/>
        <v>0.28999999999999998</v>
      </c>
      <c r="H290" s="18">
        <f t="shared" si="51"/>
        <v>7.1</v>
      </c>
      <c r="I290" s="11"/>
      <c r="J290" s="103"/>
      <c r="K290" s="22"/>
      <c r="L290" s="23"/>
      <c r="M290" s="54"/>
      <c r="N290"/>
    </row>
    <row r="291" spans="1:14" ht="19" thickBot="1" x14ac:dyDescent="0.35">
      <c r="A291" s="122"/>
      <c r="B291" s="24">
        <f t="shared" si="49"/>
        <v>22</v>
      </c>
      <c r="C291" s="24">
        <f t="shared" si="49"/>
        <v>10</v>
      </c>
      <c r="D291" s="24" t="str">
        <f t="shared" si="48"/>
        <v>Boisson spécial numéro 10</v>
      </c>
      <c r="E291" s="94">
        <f t="shared" si="48"/>
        <v>2.98</v>
      </c>
      <c r="F291" s="25">
        <f t="shared" si="48"/>
        <v>10.4</v>
      </c>
      <c r="G291" s="26">
        <f t="shared" si="50"/>
        <v>0.28653846153846152</v>
      </c>
      <c r="H291" s="27">
        <f t="shared" si="51"/>
        <v>7.42</v>
      </c>
      <c r="I291" s="28">
        <f>+I284+2.133333</f>
        <v>10.866666</v>
      </c>
      <c r="J291" s="107"/>
      <c r="K291" s="22"/>
      <c r="L291" s="23"/>
      <c r="M291" s="54"/>
      <c r="N291"/>
    </row>
    <row r="292" spans="1:14" ht="18" x14ac:dyDescent="0.3">
      <c r="A292" s="122"/>
      <c r="B292" s="9">
        <f t="shared" si="49"/>
        <v>23</v>
      </c>
      <c r="C292" s="9">
        <f t="shared" si="49"/>
        <v>11</v>
      </c>
      <c r="D292" s="9" t="str">
        <f t="shared" si="48"/>
        <v>Boisson spécial numéro 11</v>
      </c>
      <c r="E292" s="93">
        <f t="shared" si="48"/>
        <v>3.18</v>
      </c>
      <c r="F292" s="16">
        <f t="shared" si="48"/>
        <v>11.6</v>
      </c>
      <c r="G292" s="17">
        <f t="shared" si="50"/>
        <v>0.27413793103448281</v>
      </c>
      <c r="H292" s="18">
        <f t="shared" si="51"/>
        <v>8.42</v>
      </c>
      <c r="I292" s="11">
        <f>+I291+0.01</f>
        <v>10.876666</v>
      </c>
      <c r="J292" s="102">
        <f>2/12</f>
        <v>0.16666666666666666</v>
      </c>
      <c r="K292" s="19"/>
      <c r="L292" s="23"/>
      <c r="M292" s="54"/>
      <c r="N292"/>
    </row>
    <row r="293" spans="1:14" ht="18" x14ac:dyDescent="0.3">
      <c r="A293" s="122"/>
      <c r="B293" s="9">
        <f t="shared" si="49"/>
        <v>24</v>
      </c>
      <c r="C293" s="9">
        <f t="shared" si="49"/>
        <v>12</v>
      </c>
      <c r="D293" s="9" t="str">
        <f t="shared" si="48"/>
        <v>Boisson spécial numéro 12</v>
      </c>
      <c r="E293" s="93">
        <f t="shared" si="48"/>
        <v>3.48</v>
      </c>
      <c r="F293" s="16">
        <f t="shared" si="48"/>
        <v>13.2</v>
      </c>
      <c r="G293" s="17">
        <f>E293/F293</f>
        <v>0.26363636363636367</v>
      </c>
      <c r="H293" s="18">
        <f>F293-E293</f>
        <v>9.7199999999999989</v>
      </c>
      <c r="I293" s="11">
        <f>F293</f>
        <v>13.2</v>
      </c>
      <c r="J293" s="103"/>
      <c r="K293" s="22"/>
      <c r="L293" s="23"/>
      <c r="M293" s="54"/>
      <c r="N293"/>
    </row>
    <row r="294" spans="1:14" ht="19" x14ac:dyDescent="0.35">
      <c r="A294" s="122"/>
      <c r="B294" s="9"/>
      <c r="C294" s="9"/>
      <c r="D294" s="10" t="str">
        <f t="shared" si="48"/>
        <v>CmO—PmO—Beverage Cost—Marge brute</v>
      </c>
      <c r="E294" s="29">
        <f>SUM(E282:E293)/C293</f>
        <v>2.8483333333333332</v>
      </c>
      <c r="F294" s="29">
        <f>SUM(F282:F293)/C293</f>
        <v>9.5333333333333332</v>
      </c>
      <c r="G294" s="36">
        <f>E294/F294</f>
        <v>0.29877622377622376</v>
      </c>
      <c r="H294" s="32">
        <f>F294-E294</f>
        <v>6.6850000000000005</v>
      </c>
      <c r="I294" s="33"/>
      <c r="J294" s="9"/>
      <c r="K294" s="9"/>
      <c r="L294" s="91">
        <v>1</v>
      </c>
      <c r="M294" s="54">
        <f>$M$21</f>
        <v>196</v>
      </c>
      <c r="N294"/>
    </row>
    <row r="295" spans="1:14" ht="19" thickBot="1" x14ac:dyDescent="0.35">
      <c r="A295" s="122"/>
      <c r="B295" s="9"/>
      <c r="C295" s="9"/>
      <c r="D295" s="9"/>
      <c r="E295" s="15"/>
      <c r="F295" s="15"/>
      <c r="G295" s="12"/>
      <c r="H295" s="35"/>
      <c r="I295" s="9"/>
      <c r="J295" s="9"/>
      <c r="K295" s="9"/>
      <c r="L295" s="23"/>
      <c r="M295" s="54"/>
      <c r="N295"/>
    </row>
    <row r="296" spans="1:14" ht="21" thickTop="1" thickBot="1" x14ac:dyDescent="0.4">
      <c r="A296" s="122"/>
      <c r="B296" s="9"/>
      <c r="C296" s="37"/>
      <c r="D296" s="38"/>
      <c r="E296" s="39"/>
      <c r="F296" s="39"/>
      <c r="G296" s="40"/>
      <c r="H296" s="41"/>
      <c r="I296" s="42"/>
      <c r="J296" s="9"/>
      <c r="K296" s="9"/>
      <c r="L296" s="23"/>
      <c r="M296" s="54"/>
      <c r="N296"/>
    </row>
    <row r="297" spans="1:14" ht="20" thickTop="1" thickBot="1" x14ac:dyDescent="0.35">
      <c r="A297" s="122"/>
      <c r="B297" s="9"/>
      <c r="C297" s="44"/>
      <c r="D297" s="10"/>
      <c r="E297" s="45" t="str">
        <f>E254</f>
        <v>CmO</v>
      </c>
      <c r="F297" s="45" t="str">
        <f>F254</f>
        <v>PmO</v>
      </c>
      <c r="G297" s="46" t="str">
        <f>G254</f>
        <v>F&amp;BCmO</v>
      </c>
      <c r="H297" s="47" t="str">
        <f>H254</f>
        <v>BmO</v>
      </c>
      <c r="I297" s="48"/>
      <c r="J297" s="9"/>
      <c r="K297" s="9"/>
      <c r="L297" s="23"/>
      <c r="M297" s="54"/>
      <c r="N297"/>
    </row>
    <row r="298" spans="1:14" ht="19" thickTop="1" x14ac:dyDescent="0.3">
      <c r="A298" s="122"/>
      <c r="B298" s="9"/>
      <c r="C298" s="44"/>
      <c r="D298" s="49" t="str">
        <f>D255</f>
        <v>OFFRE TOTALE AVEC LES GÂTERIES ET LES CAFÉS GÂTERIES</v>
      </c>
      <c r="E298" s="15"/>
      <c r="F298" s="15"/>
      <c r="G298" s="12"/>
      <c r="H298" s="35"/>
      <c r="I298" s="50"/>
      <c r="J298" s="9"/>
      <c r="K298" s="9"/>
      <c r="L298" s="23"/>
      <c r="M298" s="54"/>
      <c r="N298"/>
    </row>
    <row r="299" spans="1:14" ht="19" x14ac:dyDescent="0.35">
      <c r="A299" s="122"/>
      <c r="B299" s="9"/>
      <c r="C299" s="44"/>
      <c r="D299" s="10" t="str">
        <f>D256</f>
        <v>CmO—PmO—F&amp;B cost moyen offert—Marge brute</v>
      </c>
      <c r="E299" s="30">
        <f>+(E267+E268+E269+E270+E271+E272+E273+E274+E275+E276+E277+E278+E282+E283+E284+E285+E286+E287+E288+E289+E290+E291+E292+E293)/B293</f>
        <v>2.1649999999999996</v>
      </c>
      <c r="F299" s="30">
        <f>+(F267+F268+F269+F270+F271+F272+F273+F274+F275+F276+F277+F278+F282+F283+F284+F285+F286+F287+F288+F289+F290+F291+F292+F293)/B293</f>
        <v>7.1749999999999998</v>
      </c>
      <c r="G299" s="51">
        <f>E299/F299</f>
        <v>0.30174216027874562</v>
      </c>
      <c r="H299" s="52">
        <f>F299-E299</f>
        <v>5.01</v>
      </c>
      <c r="I299" s="53"/>
      <c r="J299" s="9"/>
      <c r="K299" s="9"/>
      <c r="L299" s="23">
        <f>L256</f>
        <v>2</v>
      </c>
      <c r="M299" s="54">
        <f>$M$21</f>
        <v>196</v>
      </c>
      <c r="N299"/>
    </row>
    <row r="300" spans="1:14" ht="18" x14ac:dyDescent="0.3">
      <c r="A300" s="122"/>
      <c r="B300" s="9"/>
      <c r="C300" s="44"/>
      <c r="D300" s="9"/>
      <c r="E300" s="55"/>
      <c r="F300" s="55"/>
      <c r="G300" s="56"/>
      <c r="H300" s="57"/>
      <c r="I300" s="58"/>
      <c r="J300" s="9"/>
      <c r="K300" s="9"/>
      <c r="L300" s="23"/>
      <c r="M300" s="54"/>
      <c r="N300"/>
    </row>
    <row r="301" spans="1:14" ht="19" thickBot="1" x14ac:dyDescent="0.35">
      <c r="A301" s="122"/>
      <c r="B301" s="9"/>
      <c r="C301" s="59"/>
      <c r="D301" s="60"/>
      <c r="E301" s="61"/>
      <c r="F301" s="61"/>
      <c r="G301" s="62"/>
      <c r="H301" s="63"/>
      <c r="I301" s="64"/>
      <c r="J301" s="9"/>
      <c r="K301" s="9"/>
      <c r="L301" s="65"/>
      <c r="M301" s="98"/>
      <c r="N301"/>
    </row>
    <row r="302" spans="1:14" ht="19" thickTop="1" x14ac:dyDescent="0.3">
      <c r="A302" s="122"/>
      <c r="L302" s="69"/>
      <c r="M302" s="99"/>
      <c r="N302"/>
    </row>
    <row r="303" spans="1:14" ht="23" x14ac:dyDescent="0.3">
      <c r="A303" s="122"/>
      <c r="D303" s="2" t="s">
        <v>55</v>
      </c>
      <c r="F303" s="3"/>
      <c r="L303" s="69"/>
      <c r="M303" s="99"/>
      <c r="N303"/>
    </row>
    <row r="304" spans="1:14" ht="24" thickBot="1" x14ac:dyDescent="0.35">
      <c r="A304" s="122"/>
      <c r="D304" s="4"/>
      <c r="L304" s="69"/>
      <c r="M304" s="99"/>
      <c r="N304"/>
    </row>
    <row r="305" spans="1:14" ht="23" customHeight="1" thickTop="1" x14ac:dyDescent="0.25">
      <c r="A305" s="122"/>
      <c r="D305" s="4"/>
      <c r="E305" s="108" t="str">
        <f>E262</f>
        <v>Coûts des ressources alimentaires pour chaque produit offert (voir recettes standardisées)</v>
      </c>
      <c r="F305" s="108" t="str">
        <f>F262</f>
        <v>Prix de vente par produit offert</v>
      </c>
      <c r="G305" s="108" t="str">
        <f>G262</f>
        <v xml:space="preserve">« Food &amp; Beverage Cost » </v>
      </c>
      <c r="H305" s="108" t="str">
        <f>H262</f>
        <v>Marge brute gagnée sur la vente de chaque produit offert</v>
      </c>
      <c r="I305" s="5"/>
      <c r="L305" s="113" t="s">
        <v>5</v>
      </c>
      <c r="M305" s="118" t="s">
        <v>6</v>
      </c>
      <c r="N305"/>
    </row>
    <row r="306" spans="1:14" ht="22" x14ac:dyDescent="0.25">
      <c r="A306" s="122"/>
      <c r="D306" s="4"/>
      <c r="E306" s="109"/>
      <c r="F306" s="111"/>
      <c r="G306" s="111"/>
      <c r="H306" s="111"/>
      <c r="I306" s="6"/>
      <c r="L306" s="114"/>
      <c r="M306" s="119"/>
      <c r="N306"/>
    </row>
    <row r="307" spans="1:14" ht="14" customHeight="1" thickBot="1" x14ac:dyDescent="0.25">
      <c r="A307" s="122"/>
      <c r="E307" s="110"/>
      <c r="F307" s="112"/>
      <c r="G307" s="112"/>
      <c r="H307" s="112"/>
      <c r="I307" s="6"/>
      <c r="L307" s="115"/>
      <c r="M307" s="120"/>
      <c r="N307"/>
    </row>
    <row r="308" spans="1:14" ht="20" thickTop="1" thickBot="1" x14ac:dyDescent="0.35">
      <c r="A308" s="122"/>
      <c r="B308" s="1" t="s">
        <v>7</v>
      </c>
      <c r="E308" s="3"/>
      <c r="F308" s="3"/>
      <c r="G308" s="7"/>
      <c r="L308" s="69"/>
      <c r="M308" s="99"/>
      <c r="N308"/>
    </row>
    <row r="309" spans="1:14" ht="19" thickTop="1" x14ac:dyDescent="0.3">
      <c r="A309" s="122"/>
      <c r="B309" s="9"/>
      <c r="C309" s="9"/>
      <c r="D309" s="10" t="str">
        <f t="shared" ref="D309:F322" si="52">D266</f>
        <v>Les Petite Gâteries</v>
      </c>
      <c r="E309" s="11"/>
      <c r="F309" s="11"/>
      <c r="G309" s="12"/>
      <c r="H309" s="9"/>
      <c r="I309" s="9"/>
      <c r="J309" s="9"/>
      <c r="K309" s="9"/>
      <c r="L309" s="13"/>
      <c r="M309" s="97"/>
      <c r="N309"/>
    </row>
    <row r="310" spans="1:14" ht="18" x14ac:dyDescent="0.3">
      <c r="A310" s="122"/>
      <c r="B310" s="9">
        <f t="shared" ref="B310:C321" si="53">B267</f>
        <v>1</v>
      </c>
      <c r="C310" s="9">
        <f t="shared" si="53"/>
        <v>1</v>
      </c>
      <c r="D310" s="9" t="str">
        <f t="shared" si="52"/>
        <v>Petite Gâterie 1</v>
      </c>
      <c r="E310" s="93">
        <f t="shared" si="52"/>
        <v>1.21</v>
      </c>
      <c r="F310" s="16">
        <f t="shared" si="52"/>
        <v>3.3</v>
      </c>
      <c r="G310" s="17">
        <f t="shared" ref="G310:G322" si="54">E310/F310</f>
        <v>0.3666666666666667</v>
      </c>
      <c r="H310" s="18">
        <f t="shared" ref="H310:H322" si="55">F310-E310</f>
        <v>2.09</v>
      </c>
      <c r="I310" s="11"/>
      <c r="J310" s="9"/>
      <c r="K310" s="9"/>
      <c r="L310" s="20"/>
      <c r="M310" s="54"/>
      <c r="N310"/>
    </row>
    <row r="311" spans="1:14" ht="18" x14ac:dyDescent="0.3">
      <c r="A311" s="122"/>
      <c r="B311" s="9">
        <f t="shared" si="53"/>
        <v>2</v>
      </c>
      <c r="C311" s="9">
        <f t="shared" si="53"/>
        <v>2</v>
      </c>
      <c r="D311" s="9" t="str">
        <f t="shared" si="52"/>
        <v>Petite Gâterie 2</v>
      </c>
      <c r="E311" s="93">
        <f t="shared" si="52"/>
        <v>1.31</v>
      </c>
      <c r="F311" s="16">
        <f t="shared" si="52"/>
        <v>3.8</v>
      </c>
      <c r="G311" s="17">
        <f t="shared" si="54"/>
        <v>0.34473684210526317</v>
      </c>
      <c r="H311" s="18">
        <f t="shared" si="55"/>
        <v>2.4899999999999998</v>
      </c>
      <c r="I311" s="11"/>
      <c r="J311" s="9"/>
      <c r="K311" s="9"/>
      <c r="L311" s="23"/>
      <c r="M311" s="54"/>
      <c r="N311"/>
    </row>
    <row r="312" spans="1:14" ht="18" x14ac:dyDescent="0.3">
      <c r="A312" s="122"/>
      <c r="B312" s="9">
        <f t="shared" si="53"/>
        <v>3</v>
      </c>
      <c r="C312" s="9">
        <f t="shared" si="53"/>
        <v>3</v>
      </c>
      <c r="D312" s="9" t="str">
        <f t="shared" si="52"/>
        <v>Petite Gâterie 3</v>
      </c>
      <c r="E312" s="93">
        <f t="shared" si="52"/>
        <v>1.35</v>
      </c>
      <c r="F312" s="16">
        <f t="shared" si="52"/>
        <v>4</v>
      </c>
      <c r="G312" s="17">
        <f t="shared" si="54"/>
        <v>0.33750000000000002</v>
      </c>
      <c r="H312" s="18">
        <f t="shared" si="55"/>
        <v>2.65</v>
      </c>
      <c r="I312" s="11"/>
      <c r="J312" s="9"/>
      <c r="K312" s="9"/>
      <c r="L312" s="23"/>
      <c r="M312" s="54"/>
      <c r="N312"/>
    </row>
    <row r="313" spans="1:14" ht="18" x14ac:dyDescent="0.3">
      <c r="A313" s="122"/>
      <c r="B313" s="9">
        <f t="shared" si="53"/>
        <v>4</v>
      </c>
      <c r="C313" s="9">
        <f t="shared" si="53"/>
        <v>4</v>
      </c>
      <c r="D313" s="9" t="str">
        <f t="shared" si="52"/>
        <v>Petite Gâterie 4</v>
      </c>
      <c r="E313" s="93">
        <f t="shared" si="52"/>
        <v>1.4</v>
      </c>
      <c r="F313" s="16">
        <f t="shared" si="52"/>
        <v>4.5</v>
      </c>
      <c r="G313" s="17">
        <f t="shared" si="54"/>
        <v>0.31111111111111112</v>
      </c>
      <c r="H313" s="18">
        <f t="shared" si="55"/>
        <v>3.1</v>
      </c>
      <c r="I313" s="11"/>
      <c r="J313" s="9"/>
      <c r="K313" s="9"/>
      <c r="L313" s="23"/>
      <c r="M313" s="54"/>
      <c r="N313"/>
    </row>
    <row r="314" spans="1:14" ht="18" x14ac:dyDescent="0.3">
      <c r="A314" s="122"/>
      <c r="B314" s="9">
        <f t="shared" si="53"/>
        <v>5</v>
      </c>
      <c r="C314" s="9">
        <f t="shared" si="53"/>
        <v>5</v>
      </c>
      <c r="D314" s="9" t="str">
        <f t="shared" si="52"/>
        <v>Petite Gâterie 5</v>
      </c>
      <c r="E314" s="93">
        <f t="shared" si="52"/>
        <v>1.24</v>
      </c>
      <c r="F314" s="16">
        <f t="shared" si="52"/>
        <v>4.5999999999999996</v>
      </c>
      <c r="G314" s="17">
        <f t="shared" si="54"/>
        <v>0.26956521739130435</v>
      </c>
      <c r="H314" s="18">
        <f t="shared" si="55"/>
        <v>3.3599999999999994</v>
      </c>
      <c r="I314" s="11"/>
      <c r="J314" s="9"/>
      <c r="K314" s="9"/>
      <c r="L314" s="23"/>
      <c r="M314" s="54"/>
      <c r="N314"/>
    </row>
    <row r="315" spans="1:14" ht="18" x14ac:dyDescent="0.3">
      <c r="A315" s="122"/>
      <c r="B315" s="9">
        <f t="shared" si="53"/>
        <v>6</v>
      </c>
      <c r="C315" s="9">
        <f t="shared" si="53"/>
        <v>6</v>
      </c>
      <c r="D315" s="9" t="str">
        <f t="shared" si="52"/>
        <v>Petite Gâterie 6</v>
      </c>
      <c r="E315" s="93">
        <f t="shared" si="52"/>
        <v>1.39</v>
      </c>
      <c r="F315" s="16">
        <f t="shared" si="52"/>
        <v>4.7</v>
      </c>
      <c r="G315" s="17">
        <f t="shared" si="54"/>
        <v>0.29574468085106381</v>
      </c>
      <c r="H315" s="18">
        <f t="shared" si="55"/>
        <v>3.3100000000000005</v>
      </c>
      <c r="I315" s="11"/>
      <c r="J315" s="9"/>
      <c r="K315" s="9"/>
      <c r="L315" s="23"/>
      <c r="M315" s="54"/>
      <c r="N315"/>
    </row>
    <row r="316" spans="1:14" ht="18" x14ac:dyDescent="0.3">
      <c r="A316" s="122"/>
      <c r="B316" s="9">
        <f t="shared" si="53"/>
        <v>7</v>
      </c>
      <c r="C316" s="9">
        <f t="shared" si="53"/>
        <v>7</v>
      </c>
      <c r="D316" s="9" t="str">
        <f t="shared" si="52"/>
        <v>Petite Gâterie 7</v>
      </c>
      <c r="E316" s="93">
        <f t="shared" si="52"/>
        <v>1.51</v>
      </c>
      <c r="F316" s="16">
        <f t="shared" si="52"/>
        <v>4.8</v>
      </c>
      <c r="G316" s="17">
        <f t="shared" si="54"/>
        <v>0.31458333333333333</v>
      </c>
      <c r="H316" s="18">
        <f t="shared" si="55"/>
        <v>3.29</v>
      </c>
      <c r="I316" s="11"/>
      <c r="J316" s="9"/>
      <c r="K316" s="9"/>
      <c r="L316" s="23"/>
      <c r="M316" s="54"/>
      <c r="N316"/>
    </row>
    <row r="317" spans="1:14" ht="18" x14ac:dyDescent="0.3">
      <c r="A317" s="122"/>
      <c r="B317" s="9">
        <f t="shared" si="53"/>
        <v>8</v>
      </c>
      <c r="C317" s="9">
        <f t="shared" si="53"/>
        <v>8</v>
      </c>
      <c r="D317" s="9" t="str">
        <f t="shared" si="52"/>
        <v>Petite Gâterie 8</v>
      </c>
      <c r="E317" s="93">
        <f t="shared" si="52"/>
        <v>1.53</v>
      </c>
      <c r="F317" s="16">
        <f t="shared" si="52"/>
        <v>4.9000000000000004</v>
      </c>
      <c r="G317" s="17">
        <f t="shared" si="54"/>
        <v>0.31224489795918364</v>
      </c>
      <c r="H317" s="18">
        <f t="shared" si="55"/>
        <v>3.37</v>
      </c>
      <c r="I317" s="11"/>
      <c r="J317" s="9"/>
      <c r="K317" s="9"/>
      <c r="L317" s="23"/>
      <c r="M317" s="54"/>
      <c r="N317"/>
    </row>
    <row r="318" spans="1:14" ht="18" x14ac:dyDescent="0.3">
      <c r="A318" s="122"/>
      <c r="B318" s="9">
        <f t="shared" si="53"/>
        <v>9</v>
      </c>
      <c r="C318" s="9">
        <f t="shared" si="53"/>
        <v>9</v>
      </c>
      <c r="D318" s="9" t="str">
        <f t="shared" si="52"/>
        <v>Petite Gâterie 9</v>
      </c>
      <c r="E318" s="93">
        <f t="shared" si="52"/>
        <v>1.55</v>
      </c>
      <c r="F318" s="16">
        <f t="shared" si="52"/>
        <v>5</v>
      </c>
      <c r="G318" s="17">
        <f t="shared" si="54"/>
        <v>0.31</v>
      </c>
      <c r="H318" s="18">
        <f t="shared" si="55"/>
        <v>3.45</v>
      </c>
      <c r="I318" s="11"/>
      <c r="J318" s="9"/>
      <c r="K318" s="9"/>
      <c r="L318" s="23"/>
      <c r="M318" s="54"/>
      <c r="N318"/>
    </row>
    <row r="319" spans="1:14" ht="18" x14ac:dyDescent="0.3">
      <c r="A319" s="122"/>
      <c r="B319" s="9">
        <f t="shared" si="53"/>
        <v>10</v>
      </c>
      <c r="C319" s="9">
        <f t="shared" si="53"/>
        <v>10</v>
      </c>
      <c r="D319" s="9" t="str">
        <f t="shared" si="52"/>
        <v>Petite Gâterie 10</v>
      </c>
      <c r="E319" s="93">
        <f t="shared" si="52"/>
        <v>1.59</v>
      </c>
      <c r="F319" s="16">
        <f t="shared" si="52"/>
        <v>5.2</v>
      </c>
      <c r="G319" s="17">
        <f t="shared" si="54"/>
        <v>0.30576923076923079</v>
      </c>
      <c r="H319" s="18">
        <f t="shared" si="55"/>
        <v>3.6100000000000003</v>
      </c>
      <c r="I319" s="11"/>
      <c r="J319" s="9"/>
      <c r="K319" s="9"/>
      <c r="L319" s="23"/>
      <c r="M319" s="54"/>
      <c r="N319"/>
    </row>
    <row r="320" spans="1:14" ht="18" x14ac:dyDescent="0.3">
      <c r="A320" s="122"/>
      <c r="B320" s="9">
        <f t="shared" si="53"/>
        <v>11</v>
      </c>
      <c r="C320" s="9">
        <f t="shared" si="53"/>
        <v>11</v>
      </c>
      <c r="D320" s="9" t="str">
        <f t="shared" si="52"/>
        <v>Petite Gâterie 11</v>
      </c>
      <c r="E320" s="93">
        <f t="shared" si="52"/>
        <v>1.83</v>
      </c>
      <c r="F320" s="16">
        <f t="shared" si="52"/>
        <v>6.4</v>
      </c>
      <c r="G320" s="17">
        <f t="shared" si="54"/>
        <v>0.28593750000000001</v>
      </c>
      <c r="H320" s="18">
        <f t="shared" si="55"/>
        <v>4.57</v>
      </c>
      <c r="I320" s="11"/>
      <c r="J320" s="9"/>
      <c r="K320" s="9"/>
      <c r="L320" s="23"/>
      <c r="M320" s="54"/>
      <c r="N320"/>
    </row>
    <row r="321" spans="1:14" ht="18" x14ac:dyDescent="0.3">
      <c r="A321" s="122"/>
      <c r="B321" s="9">
        <f t="shared" si="53"/>
        <v>12</v>
      </c>
      <c r="C321" s="9">
        <f t="shared" si="53"/>
        <v>12</v>
      </c>
      <c r="D321" s="9" t="str">
        <f t="shared" si="52"/>
        <v>Petite Gâterie 12</v>
      </c>
      <c r="E321" s="93">
        <f t="shared" si="52"/>
        <v>1.87</v>
      </c>
      <c r="F321" s="16">
        <f t="shared" si="52"/>
        <v>6.6</v>
      </c>
      <c r="G321" s="17">
        <f t="shared" si="54"/>
        <v>0.28333333333333338</v>
      </c>
      <c r="H321" s="18">
        <f t="shared" si="55"/>
        <v>4.7299999999999995</v>
      </c>
      <c r="I321" s="11"/>
      <c r="J321" s="9"/>
      <c r="K321" s="9"/>
      <c r="L321" s="23"/>
      <c r="M321" s="54"/>
      <c r="N321"/>
    </row>
    <row r="322" spans="1:14" ht="19" x14ac:dyDescent="0.35">
      <c r="A322" s="122"/>
      <c r="B322" s="9"/>
      <c r="C322" s="9"/>
      <c r="D322" s="10" t="str">
        <f t="shared" si="52"/>
        <v>CmO—PmO—Food Cost—BmO</v>
      </c>
      <c r="E322" s="29">
        <f>SUM(E310:E321)/C321</f>
        <v>1.4816666666666667</v>
      </c>
      <c r="F322" s="29">
        <f>SUM(F310:F321)/C321</f>
        <v>4.8166666666666673</v>
      </c>
      <c r="G322" s="31">
        <f t="shared" si="54"/>
        <v>0.30761245674740478</v>
      </c>
      <c r="H322" s="32">
        <f t="shared" si="55"/>
        <v>3.3350000000000009</v>
      </c>
      <c r="I322" s="33"/>
      <c r="J322" s="9"/>
      <c r="K322" s="9"/>
      <c r="L322" s="91">
        <v>1</v>
      </c>
      <c r="M322" s="54">
        <f>$M$21</f>
        <v>196</v>
      </c>
      <c r="N322"/>
    </row>
    <row r="323" spans="1:14" ht="18" x14ac:dyDescent="0.3">
      <c r="A323" s="122"/>
      <c r="B323" s="9" t="s">
        <v>7</v>
      </c>
      <c r="C323" s="9"/>
      <c r="D323" s="9"/>
      <c r="E323" s="15"/>
      <c r="F323" s="15"/>
      <c r="G323" s="17"/>
      <c r="H323" s="35"/>
      <c r="I323" s="9"/>
      <c r="J323" s="9"/>
      <c r="K323" s="9"/>
      <c r="L323" s="23"/>
      <c r="M323" s="54"/>
      <c r="N323"/>
    </row>
    <row r="324" spans="1:14" ht="18" x14ac:dyDescent="0.3">
      <c r="A324" s="122"/>
      <c r="B324" s="9"/>
      <c r="C324" s="9"/>
      <c r="D324" s="10" t="str">
        <f t="shared" ref="D324:F337" si="56">D281</f>
        <v>Les Boissons  Gâteries</v>
      </c>
      <c r="E324" s="15"/>
      <c r="F324" s="15"/>
      <c r="G324" s="17"/>
      <c r="H324" s="35"/>
      <c r="I324" s="9"/>
      <c r="J324" s="9"/>
      <c r="K324" s="9"/>
      <c r="L324" s="23"/>
      <c r="M324" s="54"/>
      <c r="N324"/>
    </row>
    <row r="325" spans="1:14" ht="18" x14ac:dyDescent="0.3">
      <c r="A325" s="122"/>
      <c r="B325" s="9">
        <f t="shared" ref="B325:C336" si="57">B282</f>
        <v>13</v>
      </c>
      <c r="C325" s="9">
        <f t="shared" si="57"/>
        <v>1</v>
      </c>
      <c r="D325" s="9" t="str">
        <f t="shared" si="56"/>
        <v>Boisson spécial numéro 1</v>
      </c>
      <c r="E325" s="93">
        <f t="shared" si="56"/>
        <v>2.2799999999999998</v>
      </c>
      <c r="F325" s="16">
        <f t="shared" si="56"/>
        <v>6.6</v>
      </c>
      <c r="G325" s="17">
        <f>E325/F325</f>
        <v>0.34545454545454546</v>
      </c>
      <c r="H325" s="18">
        <f>F325-E325</f>
        <v>4.32</v>
      </c>
      <c r="I325" s="11"/>
      <c r="J325" s="9"/>
      <c r="K325" s="9"/>
      <c r="L325" s="23"/>
      <c r="M325" s="54"/>
      <c r="N325"/>
    </row>
    <row r="326" spans="1:14" ht="18" x14ac:dyDescent="0.3">
      <c r="A326" s="122"/>
      <c r="B326" s="9">
        <f t="shared" si="57"/>
        <v>14</v>
      </c>
      <c r="C326" s="9">
        <f t="shared" si="57"/>
        <v>2</v>
      </c>
      <c r="D326" s="9" t="str">
        <f t="shared" si="56"/>
        <v>Boisson spécial numéro 2</v>
      </c>
      <c r="E326" s="93">
        <f t="shared" si="56"/>
        <v>2.66</v>
      </c>
      <c r="F326" s="16">
        <f t="shared" si="56"/>
        <v>7.6</v>
      </c>
      <c r="G326" s="17">
        <f>E326/F326</f>
        <v>0.35000000000000003</v>
      </c>
      <c r="H326" s="18">
        <f>F326-E326</f>
        <v>4.9399999999999995</v>
      </c>
      <c r="I326" s="11"/>
      <c r="J326" s="9"/>
      <c r="K326" s="9"/>
      <c r="L326" s="23"/>
      <c r="M326" s="54"/>
      <c r="N326"/>
    </row>
    <row r="327" spans="1:14" ht="18" x14ac:dyDescent="0.3">
      <c r="A327" s="122"/>
      <c r="B327" s="9">
        <f t="shared" si="57"/>
        <v>15</v>
      </c>
      <c r="C327" s="9">
        <f t="shared" si="57"/>
        <v>3</v>
      </c>
      <c r="D327" s="9" t="str">
        <f t="shared" si="56"/>
        <v>Boisson spécial numéro 3</v>
      </c>
      <c r="E327" s="93">
        <f t="shared" si="56"/>
        <v>2.74</v>
      </c>
      <c r="F327" s="16">
        <f t="shared" si="56"/>
        <v>8</v>
      </c>
      <c r="G327" s="17">
        <f>E327/F327</f>
        <v>0.34250000000000003</v>
      </c>
      <c r="H327" s="18">
        <f>F327-E327</f>
        <v>5.26</v>
      </c>
      <c r="I327" s="11"/>
      <c r="J327" s="9"/>
      <c r="K327" s="9"/>
      <c r="L327" s="23"/>
      <c r="M327" s="54"/>
      <c r="N327"/>
    </row>
    <row r="328" spans="1:14" ht="18" x14ac:dyDescent="0.3">
      <c r="A328" s="122"/>
      <c r="B328" s="9">
        <f t="shared" si="57"/>
        <v>16</v>
      </c>
      <c r="C328" s="9">
        <f t="shared" si="57"/>
        <v>4</v>
      </c>
      <c r="D328" s="9" t="str">
        <f t="shared" si="56"/>
        <v>Boisson spécial numéro 4</v>
      </c>
      <c r="E328" s="93">
        <f t="shared" si="56"/>
        <v>2.72</v>
      </c>
      <c r="F328" s="16">
        <f t="shared" si="56"/>
        <v>9</v>
      </c>
      <c r="G328" s="17">
        <f t="shared" ref="G328:G335" si="58">E328/F328</f>
        <v>0.30222222222222223</v>
      </c>
      <c r="H328" s="18">
        <f t="shared" ref="H328:H335" si="59">F328-E328</f>
        <v>6.2799999999999994</v>
      </c>
      <c r="I328" s="11"/>
      <c r="J328" s="9"/>
      <c r="K328" s="9"/>
      <c r="L328" s="23"/>
      <c r="M328" s="54"/>
      <c r="N328"/>
    </row>
    <row r="329" spans="1:14" ht="18" x14ac:dyDescent="0.3">
      <c r="A329" s="122"/>
      <c r="B329" s="9">
        <f t="shared" si="57"/>
        <v>17</v>
      </c>
      <c r="C329" s="9">
        <f t="shared" si="57"/>
        <v>5</v>
      </c>
      <c r="D329" s="9" t="str">
        <f t="shared" si="56"/>
        <v>Boisson spécial numéro 5</v>
      </c>
      <c r="E329" s="93">
        <f t="shared" si="56"/>
        <v>2.76</v>
      </c>
      <c r="F329" s="16">
        <f t="shared" si="56"/>
        <v>9.1999999999999993</v>
      </c>
      <c r="G329" s="17">
        <f t="shared" si="58"/>
        <v>0.3</v>
      </c>
      <c r="H329" s="18">
        <f t="shared" si="59"/>
        <v>6.4399999999999995</v>
      </c>
      <c r="I329" s="11"/>
      <c r="J329" s="9"/>
      <c r="K329" s="9"/>
      <c r="L329" s="23"/>
      <c r="M329" s="54"/>
      <c r="N329"/>
    </row>
    <row r="330" spans="1:14" ht="18" x14ac:dyDescent="0.3">
      <c r="A330" s="122"/>
      <c r="B330" s="9">
        <f t="shared" si="57"/>
        <v>18</v>
      </c>
      <c r="C330" s="9">
        <f t="shared" si="57"/>
        <v>6</v>
      </c>
      <c r="D330" s="9" t="str">
        <f t="shared" si="56"/>
        <v>Boisson spécial numéro 6</v>
      </c>
      <c r="E330" s="93">
        <f t="shared" si="56"/>
        <v>2.8</v>
      </c>
      <c r="F330" s="16">
        <f t="shared" si="56"/>
        <v>9.4</v>
      </c>
      <c r="G330" s="17">
        <f t="shared" si="58"/>
        <v>0.2978723404255319</v>
      </c>
      <c r="H330" s="18">
        <f t="shared" si="59"/>
        <v>6.6000000000000005</v>
      </c>
      <c r="I330" s="11"/>
      <c r="J330" s="9"/>
      <c r="K330" s="9"/>
      <c r="L330" s="23"/>
      <c r="M330" s="54"/>
      <c r="N330"/>
    </row>
    <row r="331" spans="1:14" ht="18" x14ac:dyDescent="0.3">
      <c r="A331" s="122"/>
      <c r="B331" s="9">
        <f t="shared" si="57"/>
        <v>19</v>
      </c>
      <c r="C331" s="9">
        <f t="shared" si="57"/>
        <v>7</v>
      </c>
      <c r="D331" s="9" t="str">
        <f t="shared" si="56"/>
        <v>Boisson spécial numéro 7</v>
      </c>
      <c r="E331" s="93">
        <f t="shared" si="56"/>
        <v>2.82</v>
      </c>
      <c r="F331" s="16">
        <f t="shared" si="56"/>
        <v>9.6</v>
      </c>
      <c r="G331" s="17">
        <f t="shared" si="58"/>
        <v>0.29375000000000001</v>
      </c>
      <c r="H331" s="18">
        <f t="shared" si="59"/>
        <v>6.7799999999999994</v>
      </c>
      <c r="I331" s="11"/>
      <c r="J331" s="9"/>
      <c r="K331" s="9"/>
      <c r="L331" s="23"/>
      <c r="M331" s="54"/>
      <c r="N331"/>
    </row>
    <row r="332" spans="1:14" ht="18" x14ac:dyDescent="0.3">
      <c r="A332" s="122"/>
      <c r="B332" s="9">
        <f t="shared" si="57"/>
        <v>20</v>
      </c>
      <c r="C332" s="9">
        <f t="shared" si="57"/>
        <v>8</v>
      </c>
      <c r="D332" s="9" t="str">
        <f t="shared" si="56"/>
        <v>Boisson spécial numéro 8</v>
      </c>
      <c r="E332" s="93">
        <f t="shared" si="56"/>
        <v>2.86</v>
      </c>
      <c r="F332" s="16">
        <f t="shared" si="56"/>
        <v>9.8000000000000007</v>
      </c>
      <c r="G332" s="17">
        <f t="shared" si="58"/>
        <v>0.2918367346938775</v>
      </c>
      <c r="H332" s="18">
        <f t="shared" si="59"/>
        <v>6.9400000000000013</v>
      </c>
      <c r="I332" s="11"/>
      <c r="J332" s="9"/>
      <c r="K332" s="9"/>
      <c r="L332" s="23"/>
      <c r="M332" s="54"/>
      <c r="N332"/>
    </row>
    <row r="333" spans="1:14" ht="18" x14ac:dyDescent="0.3">
      <c r="A333" s="122"/>
      <c r="B333" s="9">
        <f t="shared" si="57"/>
        <v>21</v>
      </c>
      <c r="C333" s="9">
        <f t="shared" si="57"/>
        <v>9</v>
      </c>
      <c r="D333" s="9" t="str">
        <f t="shared" si="56"/>
        <v>Boisson spécial numéro 9</v>
      </c>
      <c r="E333" s="93">
        <f t="shared" si="56"/>
        <v>2.9</v>
      </c>
      <c r="F333" s="16">
        <f t="shared" si="56"/>
        <v>10</v>
      </c>
      <c r="G333" s="17">
        <f t="shared" si="58"/>
        <v>0.28999999999999998</v>
      </c>
      <c r="H333" s="18">
        <f t="shared" si="59"/>
        <v>7.1</v>
      </c>
      <c r="I333" s="11"/>
      <c r="J333" s="9"/>
      <c r="K333" s="9"/>
      <c r="L333" s="23"/>
      <c r="M333" s="54"/>
      <c r="N333"/>
    </row>
    <row r="334" spans="1:14" ht="18" x14ac:dyDescent="0.3">
      <c r="A334" s="122"/>
      <c r="B334" s="9">
        <f t="shared" si="57"/>
        <v>22</v>
      </c>
      <c r="C334" s="9">
        <f t="shared" si="57"/>
        <v>10</v>
      </c>
      <c r="D334" s="9" t="str">
        <f t="shared" si="56"/>
        <v>Boisson spécial numéro 10</v>
      </c>
      <c r="E334" s="93">
        <f t="shared" si="56"/>
        <v>2.98</v>
      </c>
      <c r="F334" s="16">
        <f t="shared" si="56"/>
        <v>10.4</v>
      </c>
      <c r="G334" s="17">
        <f t="shared" si="58"/>
        <v>0.28653846153846152</v>
      </c>
      <c r="H334" s="18">
        <f t="shared" si="59"/>
        <v>7.42</v>
      </c>
      <c r="I334" s="11"/>
      <c r="J334" s="9"/>
      <c r="K334" s="9"/>
      <c r="L334" s="23"/>
      <c r="M334" s="54"/>
      <c r="N334"/>
    </row>
    <row r="335" spans="1:14" ht="18" x14ac:dyDescent="0.3">
      <c r="A335" s="122"/>
      <c r="B335" s="9">
        <f t="shared" si="57"/>
        <v>23</v>
      </c>
      <c r="C335" s="9">
        <f t="shared" si="57"/>
        <v>11</v>
      </c>
      <c r="D335" s="9" t="str">
        <f t="shared" si="56"/>
        <v>Boisson spécial numéro 11</v>
      </c>
      <c r="E335" s="93">
        <f t="shared" si="56"/>
        <v>3.18</v>
      </c>
      <c r="F335" s="16">
        <f t="shared" si="56"/>
        <v>11.6</v>
      </c>
      <c r="G335" s="17">
        <f t="shared" si="58"/>
        <v>0.27413793103448281</v>
      </c>
      <c r="H335" s="18">
        <f t="shared" si="59"/>
        <v>8.42</v>
      </c>
      <c r="I335" s="11"/>
      <c r="J335" s="9"/>
      <c r="K335" s="9"/>
      <c r="L335" s="23"/>
      <c r="M335" s="54"/>
      <c r="N335"/>
    </row>
    <row r="336" spans="1:14" ht="18" x14ac:dyDescent="0.3">
      <c r="A336" s="122"/>
      <c r="B336" s="9">
        <f t="shared" si="57"/>
        <v>24</v>
      </c>
      <c r="C336" s="9">
        <f t="shared" si="57"/>
        <v>12</v>
      </c>
      <c r="D336" s="9" t="str">
        <f t="shared" si="56"/>
        <v>Boisson spécial numéro 12</v>
      </c>
      <c r="E336" s="93">
        <f t="shared" si="56"/>
        <v>3.48</v>
      </c>
      <c r="F336" s="16">
        <f t="shared" si="56"/>
        <v>13.2</v>
      </c>
      <c r="G336" s="17">
        <f>E336/F336</f>
        <v>0.26363636363636367</v>
      </c>
      <c r="H336" s="18">
        <f>F336-E336</f>
        <v>9.7199999999999989</v>
      </c>
      <c r="I336" s="11"/>
      <c r="J336" s="9"/>
      <c r="K336" s="9"/>
      <c r="L336" s="23"/>
      <c r="M336" s="54"/>
      <c r="N336"/>
    </row>
    <row r="337" spans="1:14" ht="19" x14ac:dyDescent="0.35">
      <c r="A337" s="122"/>
      <c r="B337" s="9"/>
      <c r="C337" s="9"/>
      <c r="D337" s="10" t="str">
        <f t="shared" si="56"/>
        <v>CmO—PmO—Beverage Cost—Marge brute</v>
      </c>
      <c r="E337" s="29">
        <f>SUM(E325:E336)/C336</f>
        <v>2.8483333333333332</v>
      </c>
      <c r="F337" s="29">
        <f>SUM(F325:F336)/C336</f>
        <v>9.5333333333333332</v>
      </c>
      <c r="G337" s="36">
        <f>E337/F337</f>
        <v>0.29877622377622376</v>
      </c>
      <c r="H337" s="32">
        <f>F337-E337</f>
        <v>6.6850000000000005</v>
      </c>
      <c r="I337" s="33"/>
      <c r="J337" s="9"/>
      <c r="K337" s="9"/>
      <c r="L337" s="91">
        <v>1</v>
      </c>
      <c r="M337" s="54">
        <f>$M$21</f>
        <v>196</v>
      </c>
      <c r="N337"/>
    </row>
    <row r="338" spans="1:14" ht="19" thickBot="1" x14ac:dyDescent="0.35">
      <c r="A338" s="122"/>
      <c r="B338" s="9"/>
      <c r="C338" s="9"/>
      <c r="D338" s="9"/>
      <c r="E338" s="15"/>
      <c r="F338" s="15"/>
      <c r="G338" s="12"/>
      <c r="H338" s="35"/>
      <c r="I338" s="9"/>
      <c r="J338" s="9"/>
      <c r="K338" s="9"/>
      <c r="L338" s="23"/>
      <c r="M338" s="54"/>
      <c r="N338"/>
    </row>
    <row r="339" spans="1:14" ht="21" thickTop="1" thickBot="1" x14ac:dyDescent="0.4">
      <c r="A339" s="122"/>
      <c r="B339" s="9"/>
      <c r="C339" s="37"/>
      <c r="D339" s="38"/>
      <c r="E339" s="39"/>
      <c r="F339" s="39"/>
      <c r="G339" s="40"/>
      <c r="H339" s="41"/>
      <c r="I339" s="42"/>
      <c r="J339" s="9"/>
      <c r="K339" s="9"/>
      <c r="L339" s="23"/>
      <c r="M339" s="54"/>
      <c r="N339"/>
    </row>
    <row r="340" spans="1:14" ht="20" thickTop="1" thickBot="1" x14ac:dyDescent="0.35">
      <c r="A340" s="122"/>
      <c r="B340" s="9"/>
      <c r="C340" s="44"/>
      <c r="D340" s="10"/>
      <c r="E340" s="45" t="str">
        <f>E297</f>
        <v>CmO</v>
      </c>
      <c r="F340" s="45" t="str">
        <f>F297</f>
        <v>PmO</v>
      </c>
      <c r="G340" s="46" t="str">
        <f>G297</f>
        <v>F&amp;BCmO</v>
      </c>
      <c r="H340" s="47" t="str">
        <f>H297</f>
        <v>BmO</v>
      </c>
      <c r="I340" s="48"/>
      <c r="J340" s="9"/>
      <c r="K340" s="9"/>
      <c r="L340" s="23"/>
      <c r="M340" s="54"/>
      <c r="N340"/>
    </row>
    <row r="341" spans="1:14" ht="19" thickTop="1" x14ac:dyDescent="0.3">
      <c r="A341" s="122"/>
      <c r="B341" s="9"/>
      <c r="C341" s="44"/>
      <c r="D341" s="49" t="str">
        <f>D298</f>
        <v>OFFRE TOTALE AVEC LES GÂTERIES ET LES CAFÉS GÂTERIES</v>
      </c>
      <c r="E341" s="15"/>
      <c r="F341" s="15"/>
      <c r="G341" s="12"/>
      <c r="H341" s="35"/>
      <c r="I341" s="50"/>
      <c r="J341" s="9"/>
      <c r="K341" s="9"/>
      <c r="L341" s="23"/>
      <c r="M341" s="54"/>
      <c r="N341"/>
    </row>
    <row r="342" spans="1:14" ht="19" x14ac:dyDescent="0.35">
      <c r="A342" s="122"/>
      <c r="B342" s="9"/>
      <c r="C342" s="44"/>
      <c r="D342" s="10" t="str">
        <f>D299</f>
        <v>CmO—PmO—F&amp;B cost moyen offert—Marge brute</v>
      </c>
      <c r="E342" s="30">
        <f>+(E310+E311+E312+E313+E314+E315+E316+E317+E318+E319+E320+E321+E325+E326+E327+E328+E329+E330+E331+E332+E333+E334+E335+E336)/B336</f>
        <v>2.1649999999999996</v>
      </c>
      <c r="F342" s="30">
        <f>+(F310+F311+F312+F313+F314+F315+F316+F317+F318+F319+F320+F321+F325+F326+F327+F328+F329+F330+F331+F332+F333+F334+F335+F336)/B336</f>
        <v>7.1749999999999998</v>
      </c>
      <c r="G342" s="51">
        <f>E342/F342</f>
        <v>0.30174216027874562</v>
      </c>
      <c r="H342" s="52">
        <f>F342-E342</f>
        <v>5.01</v>
      </c>
      <c r="I342" s="53"/>
      <c r="J342" s="9"/>
      <c r="K342" s="9"/>
      <c r="L342" s="23">
        <f>L299</f>
        <v>2</v>
      </c>
      <c r="M342" s="54">
        <f>$M$21</f>
        <v>196</v>
      </c>
      <c r="N342"/>
    </row>
    <row r="343" spans="1:14" ht="18" x14ac:dyDescent="0.3">
      <c r="A343" s="122"/>
      <c r="B343" s="9"/>
      <c r="C343" s="44"/>
      <c r="D343" s="9"/>
      <c r="E343" s="55"/>
      <c r="F343" s="55"/>
      <c r="G343" s="56"/>
      <c r="H343" s="57"/>
      <c r="I343" s="58"/>
      <c r="J343" s="9"/>
      <c r="K343" s="9"/>
      <c r="L343" s="23"/>
      <c r="M343" s="54"/>
      <c r="N343"/>
    </row>
    <row r="344" spans="1:14" ht="19" thickBot="1" x14ac:dyDescent="0.35">
      <c r="A344" s="122"/>
      <c r="B344" s="9"/>
      <c r="C344" s="59"/>
      <c r="D344" s="60"/>
      <c r="E344" s="61"/>
      <c r="F344" s="61"/>
      <c r="G344" s="62"/>
      <c r="H344" s="63"/>
      <c r="I344" s="64"/>
      <c r="J344" s="9"/>
      <c r="K344" s="9"/>
      <c r="L344" s="65"/>
      <c r="M344" s="98"/>
      <c r="N344"/>
    </row>
    <row r="345" spans="1:14" ht="19" thickTop="1" x14ac:dyDescent="0.3">
      <c r="A345" s="122"/>
      <c r="L345" s="69"/>
      <c r="M345" s="70"/>
      <c r="N345"/>
    </row>
    <row r="346" spans="1:14" ht="23" x14ac:dyDescent="0.3">
      <c r="A346" s="122"/>
      <c r="D346" s="2" t="s">
        <v>56</v>
      </c>
      <c r="F346" s="3"/>
      <c r="L346" s="69"/>
      <c r="M346" s="70"/>
      <c r="N346"/>
    </row>
    <row r="347" spans="1:14" ht="24" thickBot="1" x14ac:dyDescent="0.35">
      <c r="A347" s="122"/>
      <c r="D347" s="4"/>
      <c r="L347" s="69"/>
      <c r="M347" s="70"/>
      <c r="N347"/>
    </row>
    <row r="348" spans="1:14" ht="23" customHeight="1" thickTop="1" x14ac:dyDescent="0.25">
      <c r="A348" s="122"/>
      <c r="D348" s="4"/>
      <c r="E348" s="108" t="str">
        <f>E305</f>
        <v>Coûts des ressources alimentaires pour chaque produit offert (voir recettes standardisées)</v>
      </c>
      <c r="F348" s="108" t="str">
        <f>F305</f>
        <v>Prix de vente par produit offert</v>
      </c>
      <c r="G348" s="108" t="str">
        <f>G305</f>
        <v xml:space="preserve">« Food &amp; Beverage Cost » </v>
      </c>
      <c r="H348" s="108" t="str">
        <f>H305</f>
        <v>Marge brute gagnée sur la vente de chaque produit offert</v>
      </c>
      <c r="I348" s="5"/>
      <c r="L348" s="113" t="s">
        <v>5</v>
      </c>
      <c r="M348" s="113" t="s">
        <v>6</v>
      </c>
      <c r="N348"/>
    </row>
    <row r="349" spans="1:14" ht="22" x14ac:dyDescent="0.25">
      <c r="A349" s="122"/>
      <c r="D349" s="4"/>
      <c r="E349" s="109"/>
      <c r="F349" s="111"/>
      <c r="G349" s="111"/>
      <c r="H349" s="111"/>
      <c r="I349" s="6"/>
      <c r="L349" s="114"/>
      <c r="M349" s="116"/>
      <c r="N349"/>
    </row>
    <row r="350" spans="1:14" ht="14" customHeight="1" thickBot="1" x14ac:dyDescent="0.25">
      <c r="A350" s="122"/>
      <c r="E350" s="110"/>
      <c r="F350" s="112"/>
      <c r="G350" s="112"/>
      <c r="H350" s="112"/>
      <c r="I350" s="6"/>
      <c r="L350" s="115"/>
      <c r="M350" s="117"/>
      <c r="N350"/>
    </row>
    <row r="351" spans="1:14" ht="20" thickTop="1" thickBot="1" x14ac:dyDescent="0.35">
      <c r="A351" s="122"/>
      <c r="B351" s="1" t="s">
        <v>7</v>
      </c>
      <c r="E351" s="3"/>
      <c r="F351" s="3"/>
      <c r="G351" s="7"/>
      <c r="L351" s="69"/>
      <c r="M351" s="70"/>
      <c r="N351"/>
    </row>
    <row r="352" spans="1:14" ht="19" thickTop="1" x14ac:dyDescent="0.3">
      <c r="A352" s="122"/>
      <c r="B352" s="9"/>
      <c r="C352" s="9"/>
      <c r="D352" s="10" t="str">
        <f t="shared" ref="D352:F365" si="60">D309</f>
        <v>Les Petite Gâteries</v>
      </c>
      <c r="E352" s="11"/>
      <c r="F352" s="11"/>
      <c r="G352" s="12"/>
      <c r="H352" s="9"/>
      <c r="I352" s="9"/>
      <c r="J352" s="9"/>
      <c r="K352" s="9"/>
      <c r="L352" s="13"/>
      <c r="M352" s="97"/>
      <c r="N352"/>
    </row>
    <row r="353" spans="1:14" ht="18" x14ac:dyDescent="0.3">
      <c r="A353" s="122"/>
      <c r="B353" s="9">
        <f t="shared" ref="B353:C364" si="61">B310</f>
        <v>1</v>
      </c>
      <c r="C353" s="9">
        <f t="shared" si="61"/>
        <v>1</v>
      </c>
      <c r="D353" s="9" t="str">
        <f t="shared" si="60"/>
        <v>Petite Gâterie 1</v>
      </c>
      <c r="E353" s="93">
        <f t="shared" si="60"/>
        <v>1.21</v>
      </c>
      <c r="F353" s="16">
        <f t="shared" si="60"/>
        <v>3.3</v>
      </c>
      <c r="G353" s="17">
        <f t="shared" ref="G353:G365" si="62">E353/F353</f>
        <v>0.3666666666666667</v>
      </c>
      <c r="H353" s="18">
        <f t="shared" ref="H353:H365" si="63">F353-E353</f>
        <v>2.09</v>
      </c>
      <c r="I353" s="11"/>
      <c r="J353" s="9"/>
      <c r="K353" s="9"/>
      <c r="L353" s="20"/>
      <c r="M353" s="54"/>
      <c r="N353"/>
    </row>
    <row r="354" spans="1:14" ht="18" x14ac:dyDescent="0.3">
      <c r="A354" s="122"/>
      <c r="B354" s="9">
        <f t="shared" si="61"/>
        <v>2</v>
      </c>
      <c r="C354" s="9">
        <f t="shared" si="61"/>
        <v>2</v>
      </c>
      <c r="D354" s="9" t="str">
        <f t="shared" si="60"/>
        <v>Petite Gâterie 2</v>
      </c>
      <c r="E354" s="93">
        <f t="shared" si="60"/>
        <v>1.31</v>
      </c>
      <c r="F354" s="16">
        <f t="shared" si="60"/>
        <v>3.8</v>
      </c>
      <c r="G354" s="17">
        <f t="shared" si="62"/>
        <v>0.34473684210526317</v>
      </c>
      <c r="H354" s="18">
        <f t="shared" si="63"/>
        <v>2.4899999999999998</v>
      </c>
      <c r="I354" s="11"/>
      <c r="J354" s="9"/>
      <c r="K354" s="9"/>
      <c r="L354" s="23"/>
      <c r="M354" s="54"/>
      <c r="N354"/>
    </row>
    <row r="355" spans="1:14" ht="18" x14ac:dyDescent="0.3">
      <c r="A355" s="122"/>
      <c r="B355" s="9">
        <f t="shared" si="61"/>
        <v>3</v>
      </c>
      <c r="C355" s="9">
        <f t="shared" si="61"/>
        <v>3</v>
      </c>
      <c r="D355" s="9" t="str">
        <f t="shared" si="60"/>
        <v>Petite Gâterie 3</v>
      </c>
      <c r="E355" s="93">
        <f t="shared" si="60"/>
        <v>1.35</v>
      </c>
      <c r="F355" s="16">
        <f t="shared" si="60"/>
        <v>4</v>
      </c>
      <c r="G355" s="17">
        <f t="shared" si="62"/>
        <v>0.33750000000000002</v>
      </c>
      <c r="H355" s="18">
        <f t="shared" si="63"/>
        <v>2.65</v>
      </c>
      <c r="I355" s="11"/>
      <c r="J355" s="9"/>
      <c r="K355" s="9"/>
      <c r="L355" s="23"/>
      <c r="M355" s="54"/>
      <c r="N355"/>
    </row>
    <row r="356" spans="1:14" ht="18" x14ac:dyDescent="0.3">
      <c r="A356" s="122"/>
      <c r="B356" s="9">
        <f t="shared" si="61"/>
        <v>4</v>
      </c>
      <c r="C356" s="9">
        <f t="shared" si="61"/>
        <v>4</v>
      </c>
      <c r="D356" s="9" t="str">
        <f t="shared" si="60"/>
        <v>Petite Gâterie 4</v>
      </c>
      <c r="E356" s="93">
        <f t="shared" si="60"/>
        <v>1.4</v>
      </c>
      <c r="F356" s="16">
        <f t="shared" si="60"/>
        <v>4.5</v>
      </c>
      <c r="G356" s="17">
        <f t="shared" si="62"/>
        <v>0.31111111111111112</v>
      </c>
      <c r="H356" s="18">
        <f t="shared" si="63"/>
        <v>3.1</v>
      </c>
      <c r="I356" s="11"/>
      <c r="J356" s="9"/>
      <c r="K356" s="9"/>
      <c r="L356" s="23"/>
      <c r="M356" s="54"/>
      <c r="N356"/>
    </row>
    <row r="357" spans="1:14" ht="18" x14ac:dyDescent="0.3">
      <c r="A357" s="122"/>
      <c r="B357" s="9">
        <f t="shared" si="61"/>
        <v>5</v>
      </c>
      <c r="C357" s="9">
        <f t="shared" si="61"/>
        <v>5</v>
      </c>
      <c r="D357" s="9" t="str">
        <f t="shared" si="60"/>
        <v>Petite Gâterie 5</v>
      </c>
      <c r="E357" s="93">
        <f t="shared" si="60"/>
        <v>1.24</v>
      </c>
      <c r="F357" s="16">
        <f t="shared" si="60"/>
        <v>4.5999999999999996</v>
      </c>
      <c r="G357" s="17">
        <f t="shared" si="62"/>
        <v>0.26956521739130435</v>
      </c>
      <c r="H357" s="18">
        <f t="shared" si="63"/>
        <v>3.3599999999999994</v>
      </c>
      <c r="I357" s="11"/>
      <c r="J357" s="9"/>
      <c r="K357" s="9"/>
      <c r="L357" s="23"/>
      <c r="M357" s="54"/>
      <c r="N357"/>
    </row>
    <row r="358" spans="1:14" ht="18" x14ac:dyDescent="0.3">
      <c r="A358" s="122"/>
      <c r="B358" s="9">
        <f t="shared" si="61"/>
        <v>6</v>
      </c>
      <c r="C358" s="9">
        <f t="shared" si="61"/>
        <v>6</v>
      </c>
      <c r="D358" s="9" t="str">
        <f t="shared" si="60"/>
        <v>Petite Gâterie 6</v>
      </c>
      <c r="E358" s="93">
        <f t="shared" si="60"/>
        <v>1.39</v>
      </c>
      <c r="F358" s="16">
        <f t="shared" si="60"/>
        <v>4.7</v>
      </c>
      <c r="G358" s="17">
        <f t="shared" si="62"/>
        <v>0.29574468085106381</v>
      </c>
      <c r="H358" s="18">
        <f t="shared" si="63"/>
        <v>3.3100000000000005</v>
      </c>
      <c r="I358" s="11"/>
      <c r="J358" s="9"/>
      <c r="K358" s="9"/>
      <c r="L358" s="23"/>
      <c r="M358" s="54"/>
      <c r="N358"/>
    </row>
    <row r="359" spans="1:14" ht="18" x14ac:dyDescent="0.3">
      <c r="A359" s="122"/>
      <c r="B359" s="9">
        <f t="shared" si="61"/>
        <v>7</v>
      </c>
      <c r="C359" s="9">
        <f t="shared" si="61"/>
        <v>7</v>
      </c>
      <c r="D359" s="9" t="str">
        <f t="shared" si="60"/>
        <v>Petite Gâterie 7</v>
      </c>
      <c r="E359" s="93">
        <f t="shared" si="60"/>
        <v>1.51</v>
      </c>
      <c r="F359" s="16">
        <f t="shared" si="60"/>
        <v>4.8</v>
      </c>
      <c r="G359" s="17">
        <f t="shared" si="62"/>
        <v>0.31458333333333333</v>
      </c>
      <c r="H359" s="18">
        <f t="shared" si="63"/>
        <v>3.29</v>
      </c>
      <c r="I359" s="11"/>
      <c r="J359" s="9"/>
      <c r="K359" s="9"/>
      <c r="L359" s="23"/>
      <c r="M359" s="54"/>
      <c r="N359"/>
    </row>
    <row r="360" spans="1:14" ht="18" x14ac:dyDescent="0.3">
      <c r="A360" s="122"/>
      <c r="B360" s="9">
        <f t="shared" si="61"/>
        <v>8</v>
      </c>
      <c r="C360" s="9">
        <f t="shared" si="61"/>
        <v>8</v>
      </c>
      <c r="D360" s="9" t="str">
        <f t="shared" si="60"/>
        <v>Petite Gâterie 8</v>
      </c>
      <c r="E360" s="93">
        <f t="shared" si="60"/>
        <v>1.53</v>
      </c>
      <c r="F360" s="16">
        <f t="shared" si="60"/>
        <v>4.9000000000000004</v>
      </c>
      <c r="G360" s="17">
        <f t="shared" si="62"/>
        <v>0.31224489795918364</v>
      </c>
      <c r="H360" s="18">
        <f t="shared" si="63"/>
        <v>3.37</v>
      </c>
      <c r="I360" s="11"/>
      <c r="J360" s="9"/>
      <c r="K360" s="9"/>
      <c r="L360" s="23"/>
      <c r="M360" s="54"/>
      <c r="N360"/>
    </row>
    <row r="361" spans="1:14" ht="18" x14ac:dyDescent="0.3">
      <c r="A361" s="122"/>
      <c r="B361" s="9">
        <f t="shared" si="61"/>
        <v>9</v>
      </c>
      <c r="C361" s="9">
        <f t="shared" si="61"/>
        <v>9</v>
      </c>
      <c r="D361" s="9" t="str">
        <f t="shared" si="60"/>
        <v>Petite Gâterie 9</v>
      </c>
      <c r="E361" s="93">
        <f t="shared" si="60"/>
        <v>1.55</v>
      </c>
      <c r="F361" s="16">
        <f t="shared" si="60"/>
        <v>5</v>
      </c>
      <c r="G361" s="17">
        <f t="shared" si="62"/>
        <v>0.31</v>
      </c>
      <c r="H361" s="18">
        <f t="shared" si="63"/>
        <v>3.45</v>
      </c>
      <c r="I361" s="11"/>
      <c r="J361" s="9"/>
      <c r="K361" s="9"/>
      <c r="L361" s="23"/>
      <c r="M361" s="54"/>
      <c r="N361"/>
    </row>
    <row r="362" spans="1:14" ht="18" x14ac:dyDescent="0.3">
      <c r="A362" s="122"/>
      <c r="B362" s="9">
        <f t="shared" si="61"/>
        <v>10</v>
      </c>
      <c r="C362" s="9">
        <f t="shared" si="61"/>
        <v>10</v>
      </c>
      <c r="D362" s="9" t="str">
        <f t="shared" si="60"/>
        <v>Petite Gâterie 10</v>
      </c>
      <c r="E362" s="93">
        <f t="shared" si="60"/>
        <v>1.59</v>
      </c>
      <c r="F362" s="16">
        <f t="shared" si="60"/>
        <v>5.2</v>
      </c>
      <c r="G362" s="17">
        <f t="shared" si="62"/>
        <v>0.30576923076923079</v>
      </c>
      <c r="H362" s="18">
        <f t="shared" si="63"/>
        <v>3.6100000000000003</v>
      </c>
      <c r="I362" s="11"/>
      <c r="J362" s="9"/>
      <c r="K362" s="9"/>
      <c r="L362" s="23"/>
      <c r="M362" s="54"/>
      <c r="N362"/>
    </row>
    <row r="363" spans="1:14" ht="18" x14ac:dyDescent="0.3">
      <c r="A363" s="122"/>
      <c r="B363" s="9">
        <f t="shared" si="61"/>
        <v>11</v>
      </c>
      <c r="C363" s="9">
        <f t="shared" si="61"/>
        <v>11</v>
      </c>
      <c r="D363" s="9" t="str">
        <f t="shared" si="60"/>
        <v>Petite Gâterie 11</v>
      </c>
      <c r="E363" s="93">
        <f t="shared" si="60"/>
        <v>1.83</v>
      </c>
      <c r="F363" s="16">
        <f t="shared" si="60"/>
        <v>6.4</v>
      </c>
      <c r="G363" s="17">
        <f t="shared" si="62"/>
        <v>0.28593750000000001</v>
      </c>
      <c r="H363" s="18">
        <f t="shared" si="63"/>
        <v>4.57</v>
      </c>
      <c r="I363" s="11"/>
      <c r="J363" s="9"/>
      <c r="K363" s="9"/>
      <c r="L363" s="23"/>
      <c r="M363" s="54"/>
      <c r="N363"/>
    </row>
    <row r="364" spans="1:14" ht="18" x14ac:dyDescent="0.3">
      <c r="A364" s="122"/>
      <c r="B364" s="9">
        <f t="shared" si="61"/>
        <v>12</v>
      </c>
      <c r="C364" s="9">
        <f t="shared" si="61"/>
        <v>12</v>
      </c>
      <c r="D364" s="9" t="str">
        <f t="shared" si="60"/>
        <v>Petite Gâterie 12</v>
      </c>
      <c r="E364" s="93">
        <f t="shared" si="60"/>
        <v>1.87</v>
      </c>
      <c r="F364" s="16">
        <f t="shared" si="60"/>
        <v>6.6</v>
      </c>
      <c r="G364" s="17">
        <f t="shared" si="62"/>
        <v>0.28333333333333338</v>
      </c>
      <c r="H364" s="18">
        <f t="shared" si="63"/>
        <v>4.7299999999999995</v>
      </c>
      <c r="I364" s="11"/>
      <c r="J364" s="9"/>
      <c r="K364" s="9"/>
      <c r="L364" s="23"/>
      <c r="M364" s="54"/>
      <c r="N364"/>
    </row>
    <row r="365" spans="1:14" ht="19" x14ac:dyDescent="0.35">
      <c r="A365" s="122"/>
      <c r="B365" s="9"/>
      <c r="C365" s="9"/>
      <c r="D365" s="10" t="str">
        <f t="shared" si="60"/>
        <v>CmO—PmO—Food Cost—BmO</v>
      </c>
      <c r="E365" s="29">
        <f>SUM(E353:E364)/C364</f>
        <v>1.4816666666666667</v>
      </c>
      <c r="F365" s="29">
        <f>SUM(F353:F364)/C364</f>
        <v>4.8166666666666673</v>
      </c>
      <c r="G365" s="31">
        <f t="shared" si="62"/>
        <v>0.30761245674740478</v>
      </c>
      <c r="H365" s="32">
        <f t="shared" si="63"/>
        <v>3.3350000000000009</v>
      </c>
      <c r="I365" s="33"/>
      <c r="J365" s="9"/>
      <c r="K365" s="9"/>
      <c r="L365" s="91">
        <v>1</v>
      </c>
      <c r="M365" s="54">
        <f>$M$21</f>
        <v>196</v>
      </c>
      <c r="N365"/>
    </row>
    <row r="366" spans="1:14" ht="18" x14ac:dyDescent="0.3">
      <c r="A366" s="122"/>
      <c r="B366" s="9" t="s">
        <v>7</v>
      </c>
      <c r="C366" s="9"/>
      <c r="D366" s="9"/>
      <c r="E366" s="15"/>
      <c r="F366" s="15"/>
      <c r="G366" s="17"/>
      <c r="H366" s="35"/>
      <c r="I366" s="9"/>
      <c r="J366" s="9"/>
      <c r="K366" s="9"/>
      <c r="L366" s="23"/>
      <c r="M366" s="54"/>
      <c r="N366"/>
    </row>
    <row r="367" spans="1:14" ht="18" x14ac:dyDescent="0.3">
      <c r="A367" s="122"/>
      <c r="B367" s="9"/>
      <c r="C367" s="9"/>
      <c r="D367" s="10" t="str">
        <f t="shared" ref="D367:F380" si="64">D324</f>
        <v>Les Boissons  Gâteries</v>
      </c>
      <c r="E367" s="15"/>
      <c r="F367" s="15"/>
      <c r="G367" s="17"/>
      <c r="H367" s="35"/>
      <c r="I367" s="9"/>
      <c r="J367" s="9"/>
      <c r="K367" s="9"/>
      <c r="L367" s="23"/>
      <c r="M367" s="54"/>
      <c r="N367"/>
    </row>
    <row r="368" spans="1:14" ht="18" x14ac:dyDescent="0.3">
      <c r="A368" s="122"/>
      <c r="B368" s="9">
        <f t="shared" ref="B368:C379" si="65">B325</f>
        <v>13</v>
      </c>
      <c r="C368" s="9">
        <f t="shared" si="65"/>
        <v>1</v>
      </c>
      <c r="D368" s="9" t="str">
        <f t="shared" si="64"/>
        <v>Boisson spécial numéro 1</v>
      </c>
      <c r="E368" s="93">
        <f t="shared" si="64"/>
        <v>2.2799999999999998</v>
      </c>
      <c r="F368" s="16">
        <f t="shared" si="64"/>
        <v>6.6</v>
      </c>
      <c r="G368" s="17">
        <f>E368/F368</f>
        <v>0.34545454545454546</v>
      </c>
      <c r="H368" s="18">
        <f>F368-E368</f>
        <v>4.32</v>
      </c>
      <c r="I368" s="11"/>
      <c r="J368" s="9"/>
      <c r="K368" s="9"/>
      <c r="L368" s="23"/>
      <c r="M368" s="54"/>
      <c r="N368"/>
    </row>
    <row r="369" spans="1:14" ht="18" x14ac:dyDescent="0.3">
      <c r="A369" s="122"/>
      <c r="B369" s="9">
        <f t="shared" si="65"/>
        <v>14</v>
      </c>
      <c r="C369" s="9">
        <f t="shared" si="65"/>
        <v>2</v>
      </c>
      <c r="D369" s="9" t="str">
        <f t="shared" si="64"/>
        <v>Boisson spécial numéro 2</v>
      </c>
      <c r="E369" s="93">
        <f t="shared" si="64"/>
        <v>2.66</v>
      </c>
      <c r="F369" s="16">
        <f t="shared" si="64"/>
        <v>7.6</v>
      </c>
      <c r="G369" s="17">
        <f>E369/F369</f>
        <v>0.35000000000000003</v>
      </c>
      <c r="H369" s="18">
        <f>F369-E369</f>
        <v>4.9399999999999995</v>
      </c>
      <c r="I369" s="11"/>
      <c r="J369" s="9"/>
      <c r="K369" s="9"/>
      <c r="L369" s="23"/>
      <c r="M369" s="54"/>
      <c r="N369"/>
    </row>
    <row r="370" spans="1:14" ht="18" x14ac:dyDescent="0.3">
      <c r="A370" s="122"/>
      <c r="B370" s="9">
        <f t="shared" si="65"/>
        <v>15</v>
      </c>
      <c r="C370" s="9">
        <f t="shared" si="65"/>
        <v>3</v>
      </c>
      <c r="D370" s="9" t="str">
        <f t="shared" si="64"/>
        <v>Boisson spécial numéro 3</v>
      </c>
      <c r="E370" s="93">
        <f t="shared" si="64"/>
        <v>2.74</v>
      </c>
      <c r="F370" s="16">
        <f t="shared" si="64"/>
        <v>8</v>
      </c>
      <c r="G370" s="17">
        <f>E370/F370</f>
        <v>0.34250000000000003</v>
      </c>
      <c r="H370" s="18">
        <f>F370-E370</f>
        <v>5.26</v>
      </c>
      <c r="I370" s="11"/>
      <c r="J370" s="9"/>
      <c r="K370" s="9"/>
      <c r="L370" s="23"/>
      <c r="M370" s="54"/>
      <c r="N370"/>
    </row>
    <row r="371" spans="1:14" ht="18" x14ac:dyDescent="0.3">
      <c r="A371" s="122"/>
      <c r="B371" s="9">
        <f t="shared" si="65"/>
        <v>16</v>
      </c>
      <c r="C371" s="9">
        <f t="shared" si="65"/>
        <v>4</v>
      </c>
      <c r="D371" s="9" t="str">
        <f t="shared" si="64"/>
        <v>Boisson spécial numéro 4</v>
      </c>
      <c r="E371" s="93">
        <f t="shared" si="64"/>
        <v>2.72</v>
      </c>
      <c r="F371" s="16">
        <f t="shared" si="64"/>
        <v>9</v>
      </c>
      <c r="G371" s="17">
        <f t="shared" ref="G371:G378" si="66">E371/F371</f>
        <v>0.30222222222222223</v>
      </c>
      <c r="H371" s="18">
        <f t="shared" ref="H371:H378" si="67">F371-E371</f>
        <v>6.2799999999999994</v>
      </c>
      <c r="I371" s="11"/>
      <c r="J371" s="9"/>
      <c r="K371" s="9"/>
      <c r="L371" s="23"/>
      <c r="M371" s="54"/>
      <c r="N371"/>
    </row>
    <row r="372" spans="1:14" ht="18" x14ac:dyDescent="0.3">
      <c r="A372" s="122"/>
      <c r="B372" s="9">
        <f t="shared" si="65"/>
        <v>17</v>
      </c>
      <c r="C372" s="9">
        <f t="shared" si="65"/>
        <v>5</v>
      </c>
      <c r="D372" s="9" t="str">
        <f t="shared" si="64"/>
        <v>Boisson spécial numéro 5</v>
      </c>
      <c r="E372" s="93">
        <f t="shared" si="64"/>
        <v>2.76</v>
      </c>
      <c r="F372" s="16">
        <f t="shared" si="64"/>
        <v>9.1999999999999993</v>
      </c>
      <c r="G372" s="17">
        <f t="shared" si="66"/>
        <v>0.3</v>
      </c>
      <c r="H372" s="18">
        <f t="shared" si="67"/>
        <v>6.4399999999999995</v>
      </c>
      <c r="I372" s="11"/>
      <c r="J372" s="9"/>
      <c r="K372" s="9"/>
      <c r="L372" s="23"/>
      <c r="M372" s="54"/>
      <c r="N372"/>
    </row>
    <row r="373" spans="1:14" ht="18" x14ac:dyDescent="0.3">
      <c r="A373" s="122"/>
      <c r="B373" s="9">
        <f t="shared" si="65"/>
        <v>18</v>
      </c>
      <c r="C373" s="9">
        <f t="shared" si="65"/>
        <v>6</v>
      </c>
      <c r="D373" s="9" t="str">
        <f t="shared" si="64"/>
        <v>Boisson spécial numéro 6</v>
      </c>
      <c r="E373" s="93">
        <f t="shared" si="64"/>
        <v>2.8</v>
      </c>
      <c r="F373" s="16">
        <f t="shared" si="64"/>
        <v>9.4</v>
      </c>
      <c r="G373" s="17">
        <f t="shared" si="66"/>
        <v>0.2978723404255319</v>
      </c>
      <c r="H373" s="18">
        <f t="shared" si="67"/>
        <v>6.6000000000000005</v>
      </c>
      <c r="I373" s="11"/>
      <c r="J373" s="9"/>
      <c r="K373" s="9"/>
      <c r="L373" s="23"/>
      <c r="M373" s="54"/>
      <c r="N373"/>
    </row>
    <row r="374" spans="1:14" ht="18" x14ac:dyDescent="0.3">
      <c r="A374" s="122"/>
      <c r="B374" s="9">
        <f t="shared" si="65"/>
        <v>19</v>
      </c>
      <c r="C374" s="9">
        <f t="shared" si="65"/>
        <v>7</v>
      </c>
      <c r="D374" s="9" t="str">
        <f t="shared" si="64"/>
        <v>Boisson spécial numéro 7</v>
      </c>
      <c r="E374" s="93">
        <f t="shared" si="64"/>
        <v>2.82</v>
      </c>
      <c r="F374" s="16">
        <f t="shared" si="64"/>
        <v>9.6</v>
      </c>
      <c r="G374" s="17">
        <f t="shared" si="66"/>
        <v>0.29375000000000001</v>
      </c>
      <c r="H374" s="18">
        <f t="shared" si="67"/>
        <v>6.7799999999999994</v>
      </c>
      <c r="I374" s="11"/>
      <c r="J374" s="9"/>
      <c r="K374" s="9"/>
      <c r="L374" s="23"/>
      <c r="M374" s="54"/>
      <c r="N374"/>
    </row>
    <row r="375" spans="1:14" ht="18" x14ac:dyDescent="0.3">
      <c r="A375" s="122"/>
      <c r="B375" s="9">
        <f t="shared" si="65"/>
        <v>20</v>
      </c>
      <c r="C375" s="9">
        <f t="shared" si="65"/>
        <v>8</v>
      </c>
      <c r="D375" s="9" t="str">
        <f t="shared" si="64"/>
        <v>Boisson spécial numéro 8</v>
      </c>
      <c r="E375" s="93">
        <f t="shared" si="64"/>
        <v>2.86</v>
      </c>
      <c r="F375" s="16">
        <f t="shared" si="64"/>
        <v>9.8000000000000007</v>
      </c>
      <c r="G375" s="17">
        <f t="shared" si="66"/>
        <v>0.2918367346938775</v>
      </c>
      <c r="H375" s="18">
        <f t="shared" si="67"/>
        <v>6.9400000000000013</v>
      </c>
      <c r="I375" s="11"/>
      <c r="J375" s="9"/>
      <c r="K375" s="9"/>
      <c r="L375" s="23"/>
      <c r="M375" s="54"/>
      <c r="N375"/>
    </row>
    <row r="376" spans="1:14" ht="18" x14ac:dyDescent="0.3">
      <c r="A376" s="122"/>
      <c r="B376" s="9">
        <f t="shared" si="65"/>
        <v>21</v>
      </c>
      <c r="C376" s="9">
        <f t="shared" si="65"/>
        <v>9</v>
      </c>
      <c r="D376" s="9" t="str">
        <f t="shared" si="64"/>
        <v>Boisson spécial numéro 9</v>
      </c>
      <c r="E376" s="93">
        <f t="shared" si="64"/>
        <v>2.9</v>
      </c>
      <c r="F376" s="16">
        <f t="shared" si="64"/>
        <v>10</v>
      </c>
      <c r="G376" s="17">
        <f t="shared" si="66"/>
        <v>0.28999999999999998</v>
      </c>
      <c r="H376" s="18">
        <f t="shared" si="67"/>
        <v>7.1</v>
      </c>
      <c r="I376" s="11"/>
      <c r="J376" s="9"/>
      <c r="K376" s="9"/>
      <c r="L376" s="23"/>
      <c r="M376" s="54"/>
      <c r="N376"/>
    </row>
    <row r="377" spans="1:14" ht="18" x14ac:dyDescent="0.3">
      <c r="A377" s="122"/>
      <c r="B377" s="9">
        <f t="shared" si="65"/>
        <v>22</v>
      </c>
      <c r="C377" s="9">
        <f t="shared" si="65"/>
        <v>10</v>
      </c>
      <c r="D377" s="9" t="str">
        <f t="shared" si="64"/>
        <v>Boisson spécial numéro 10</v>
      </c>
      <c r="E377" s="93">
        <f t="shared" si="64"/>
        <v>2.98</v>
      </c>
      <c r="F377" s="16">
        <f t="shared" si="64"/>
        <v>10.4</v>
      </c>
      <c r="G377" s="17">
        <f t="shared" si="66"/>
        <v>0.28653846153846152</v>
      </c>
      <c r="H377" s="18">
        <f t="shared" si="67"/>
        <v>7.42</v>
      </c>
      <c r="I377" s="11"/>
      <c r="J377" s="9"/>
      <c r="K377" s="9"/>
      <c r="L377" s="23"/>
      <c r="M377" s="54"/>
      <c r="N377"/>
    </row>
    <row r="378" spans="1:14" ht="18" x14ac:dyDescent="0.3">
      <c r="A378" s="122"/>
      <c r="B378" s="9">
        <f t="shared" si="65"/>
        <v>23</v>
      </c>
      <c r="C378" s="9">
        <f t="shared" si="65"/>
        <v>11</v>
      </c>
      <c r="D378" s="9" t="str">
        <f t="shared" si="64"/>
        <v>Boisson spécial numéro 11</v>
      </c>
      <c r="E378" s="93">
        <f t="shared" si="64"/>
        <v>3.18</v>
      </c>
      <c r="F378" s="16">
        <f t="shared" si="64"/>
        <v>11.6</v>
      </c>
      <c r="G378" s="17">
        <f t="shared" si="66"/>
        <v>0.27413793103448281</v>
      </c>
      <c r="H378" s="18">
        <f t="shared" si="67"/>
        <v>8.42</v>
      </c>
      <c r="I378" s="11"/>
      <c r="J378" s="9"/>
      <c r="K378" s="9"/>
      <c r="L378" s="23"/>
      <c r="M378" s="54"/>
      <c r="N378"/>
    </row>
    <row r="379" spans="1:14" ht="18" x14ac:dyDescent="0.3">
      <c r="A379" s="122"/>
      <c r="B379" s="9">
        <f t="shared" si="65"/>
        <v>24</v>
      </c>
      <c r="C379" s="9">
        <f t="shared" si="65"/>
        <v>12</v>
      </c>
      <c r="D379" s="9" t="str">
        <f t="shared" si="64"/>
        <v>Boisson spécial numéro 12</v>
      </c>
      <c r="E379" s="93">
        <f t="shared" si="64"/>
        <v>3.48</v>
      </c>
      <c r="F379" s="16">
        <f t="shared" si="64"/>
        <v>13.2</v>
      </c>
      <c r="G379" s="17">
        <f>E379/F379</f>
        <v>0.26363636363636367</v>
      </c>
      <c r="H379" s="18">
        <f>F379-E379</f>
        <v>9.7199999999999989</v>
      </c>
      <c r="I379" s="11"/>
      <c r="J379" s="9"/>
      <c r="K379" s="9"/>
      <c r="L379" s="23"/>
      <c r="M379" s="54"/>
      <c r="N379"/>
    </row>
    <row r="380" spans="1:14" ht="19" x14ac:dyDescent="0.35">
      <c r="A380" s="122"/>
      <c r="B380" s="9"/>
      <c r="C380" s="9"/>
      <c r="D380" s="10" t="str">
        <f t="shared" si="64"/>
        <v>CmO—PmO—Beverage Cost—Marge brute</v>
      </c>
      <c r="E380" s="29">
        <f>SUM(E368:E379)/C379</f>
        <v>2.8483333333333332</v>
      </c>
      <c r="F380" s="29">
        <f>SUM(F368:F379)/C379</f>
        <v>9.5333333333333332</v>
      </c>
      <c r="G380" s="36">
        <f>E380/F380</f>
        <v>0.29877622377622376</v>
      </c>
      <c r="H380" s="32">
        <f>F380-E380</f>
        <v>6.6850000000000005</v>
      </c>
      <c r="I380" s="33"/>
      <c r="J380" s="9"/>
      <c r="K380" s="9"/>
      <c r="L380" s="91">
        <v>1</v>
      </c>
      <c r="M380" s="54">
        <f>$M$21</f>
        <v>196</v>
      </c>
      <c r="N380"/>
    </row>
    <row r="381" spans="1:14" ht="19" thickBot="1" x14ac:dyDescent="0.35">
      <c r="A381" s="122"/>
      <c r="B381" s="9"/>
      <c r="C381" s="9"/>
      <c r="D381" s="9"/>
      <c r="E381" s="15"/>
      <c r="F381" s="15"/>
      <c r="G381" s="12"/>
      <c r="H381" s="35"/>
      <c r="I381" s="9"/>
      <c r="J381" s="9"/>
      <c r="K381" s="9"/>
      <c r="L381" s="23"/>
      <c r="M381" s="54"/>
      <c r="N381"/>
    </row>
    <row r="382" spans="1:14" ht="21" thickTop="1" thickBot="1" x14ac:dyDescent="0.4">
      <c r="A382" s="122"/>
      <c r="B382" s="9"/>
      <c r="C382" s="37"/>
      <c r="D382" s="38"/>
      <c r="E382" s="39"/>
      <c r="F382" s="39"/>
      <c r="G382" s="40"/>
      <c r="H382" s="41"/>
      <c r="I382" s="42"/>
      <c r="J382" s="9"/>
      <c r="K382" s="9"/>
      <c r="L382" s="23"/>
      <c r="M382" s="54"/>
      <c r="N382"/>
    </row>
    <row r="383" spans="1:14" ht="20" thickTop="1" thickBot="1" x14ac:dyDescent="0.35">
      <c r="A383" s="122"/>
      <c r="B383" s="9"/>
      <c r="C383" s="44"/>
      <c r="D383" s="10"/>
      <c r="E383" s="45" t="str">
        <f>E340</f>
        <v>CmO</v>
      </c>
      <c r="F383" s="45" t="str">
        <f>F340</f>
        <v>PmO</v>
      </c>
      <c r="G383" s="46" t="str">
        <f>G340</f>
        <v>F&amp;BCmO</v>
      </c>
      <c r="H383" s="47" t="str">
        <f>H340</f>
        <v>BmO</v>
      </c>
      <c r="I383" s="48"/>
      <c r="J383" s="9"/>
      <c r="K383" s="9"/>
      <c r="L383" s="23"/>
      <c r="M383" s="54"/>
      <c r="N383"/>
    </row>
    <row r="384" spans="1:14" ht="19" thickTop="1" x14ac:dyDescent="0.3">
      <c r="A384" s="122"/>
      <c r="B384" s="9"/>
      <c r="C384" s="44"/>
      <c r="D384" s="49" t="str">
        <f>D341</f>
        <v>OFFRE TOTALE AVEC LES GÂTERIES ET LES CAFÉS GÂTERIES</v>
      </c>
      <c r="E384" s="15"/>
      <c r="F384" s="15"/>
      <c r="G384" s="12"/>
      <c r="H384" s="35"/>
      <c r="I384" s="50"/>
      <c r="J384" s="9"/>
      <c r="K384" s="9"/>
      <c r="L384" s="23"/>
      <c r="M384" s="54"/>
      <c r="N384"/>
    </row>
    <row r="385" spans="1:14" ht="19" x14ac:dyDescent="0.35">
      <c r="A385" s="122"/>
      <c r="B385" s="9"/>
      <c r="C385" s="44"/>
      <c r="D385" s="10" t="str">
        <f>D342</f>
        <v>CmO—PmO—F&amp;B cost moyen offert—Marge brute</v>
      </c>
      <c r="E385" s="30">
        <f>+(E353+E354+E355+E356+E357+E358+E359+E360+E361+E362+E363+E364+E368+E369+E370+E371+E372+E373+E374+E375+E376+E377+E378+E379)/B379</f>
        <v>2.1649999999999996</v>
      </c>
      <c r="F385" s="30">
        <f>+(F353+F354+F355+F356+F357+F358+F359+F360+F361+F362+F363+F364+F368+F369+F370+F371+F372+F373+F374+F375+F376+F377+F378+F379)/B379</f>
        <v>7.1749999999999998</v>
      </c>
      <c r="G385" s="51">
        <f>E385/F385</f>
        <v>0.30174216027874562</v>
      </c>
      <c r="H385" s="52">
        <f>F385-E385</f>
        <v>5.01</v>
      </c>
      <c r="I385" s="53"/>
      <c r="J385" s="9"/>
      <c r="K385" s="9"/>
      <c r="L385" s="23">
        <f>L342</f>
        <v>2</v>
      </c>
      <c r="M385" s="54">
        <f>$M$21</f>
        <v>196</v>
      </c>
      <c r="N385"/>
    </row>
    <row r="386" spans="1:14" ht="18" x14ac:dyDescent="0.3">
      <c r="A386" s="122"/>
      <c r="B386" s="9"/>
      <c r="C386" s="44"/>
      <c r="D386" s="9"/>
      <c r="E386" s="55"/>
      <c r="F386" s="55"/>
      <c r="G386" s="56"/>
      <c r="H386" s="57"/>
      <c r="I386" s="58"/>
      <c r="J386" s="9"/>
      <c r="K386" s="9"/>
      <c r="L386" s="23"/>
      <c r="M386" s="54"/>
      <c r="N386"/>
    </row>
    <row r="387" spans="1:14" ht="19" thickBot="1" x14ac:dyDescent="0.35">
      <c r="A387" s="122"/>
      <c r="B387" s="9"/>
      <c r="C387" s="59"/>
      <c r="D387" s="60"/>
      <c r="E387" s="61"/>
      <c r="F387" s="61"/>
      <c r="G387" s="62"/>
      <c r="H387" s="63"/>
      <c r="I387" s="64"/>
      <c r="J387" s="9"/>
      <c r="K387" s="9"/>
      <c r="L387" s="65"/>
      <c r="M387" s="98"/>
      <c r="N387"/>
    </row>
    <row r="388" spans="1:14" ht="19" thickTop="1" x14ac:dyDescent="0.3">
      <c r="A388" s="122"/>
      <c r="L388" s="69"/>
      <c r="M388" s="70"/>
      <c r="N388"/>
    </row>
    <row r="389" spans="1:14" ht="23" x14ac:dyDescent="0.3">
      <c r="A389" s="122"/>
      <c r="D389" s="2" t="s">
        <v>57</v>
      </c>
      <c r="F389" s="3"/>
      <c r="L389" s="69"/>
      <c r="M389" s="70"/>
      <c r="N389"/>
    </row>
    <row r="390" spans="1:14" ht="24" thickBot="1" x14ac:dyDescent="0.35">
      <c r="A390" s="122"/>
      <c r="D390" s="4"/>
      <c r="L390" s="69"/>
      <c r="M390" s="70"/>
      <c r="N390"/>
    </row>
    <row r="391" spans="1:14" ht="23" customHeight="1" thickTop="1" x14ac:dyDescent="0.25">
      <c r="A391" s="122"/>
      <c r="D391" s="4"/>
      <c r="E391" s="108" t="str">
        <f>E348</f>
        <v>Coûts des ressources alimentaires pour chaque produit offert (voir recettes standardisées)</v>
      </c>
      <c r="F391" s="108" t="str">
        <f>F348</f>
        <v>Prix de vente par produit offert</v>
      </c>
      <c r="G391" s="108" t="str">
        <f>G348</f>
        <v xml:space="preserve">« Food &amp; Beverage Cost » </v>
      </c>
      <c r="H391" s="108" t="str">
        <f>H348</f>
        <v>Marge brute gagnée sur la vente de chaque produit offert</v>
      </c>
      <c r="I391" s="5"/>
      <c r="L391" s="113" t="s">
        <v>5</v>
      </c>
      <c r="M391" s="113" t="s">
        <v>6</v>
      </c>
      <c r="N391"/>
    </row>
    <row r="392" spans="1:14" ht="22" x14ac:dyDescent="0.25">
      <c r="A392" s="122"/>
      <c r="D392" s="4"/>
      <c r="E392" s="109"/>
      <c r="F392" s="111"/>
      <c r="G392" s="111"/>
      <c r="H392" s="111"/>
      <c r="I392" s="6"/>
      <c r="L392" s="114"/>
      <c r="M392" s="116"/>
      <c r="N392"/>
    </row>
    <row r="393" spans="1:14" ht="14" customHeight="1" thickBot="1" x14ac:dyDescent="0.25">
      <c r="A393" s="122"/>
      <c r="E393" s="110"/>
      <c r="F393" s="112"/>
      <c r="G393" s="112"/>
      <c r="H393" s="112"/>
      <c r="I393" s="6"/>
      <c r="L393" s="115"/>
      <c r="M393" s="117"/>
      <c r="N393"/>
    </row>
    <row r="394" spans="1:14" ht="20" thickTop="1" thickBot="1" x14ac:dyDescent="0.35">
      <c r="A394" s="122"/>
      <c r="B394" s="1" t="s">
        <v>7</v>
      </c>
      <c r="E394" s="3"/>
      <c r="F394" s="3"/>
      <c r="G394" s="7"/>
      <c r="L394" s="69"/>
      <c r="M394" s="70"/>
      <c r="N394"/>
    </row>
    <row r="395" spans="1:14" ht="19" thickTop="1" x14ac:dyDescent="0.3">
      <c r="A395" s="122"/>
      <c r="B395" s="9"/>
      <c r="C395" s="9"/>
      <c r="D395" s="10" t="str">
        <f t="shared" ref="D395:F408" si="68">D352</f>
        <v>Les Petite Gâteries</v>
      </c>
      <c r="E395" s="11"/>
      <c r="F395" s="11"/>
      <c r="G395" s="12"/>
      <c r="H395" s="9"/>
      <c r="I395" s="9"/>
      <c r="J395" s="9"/>
      <c r="K395" s="9"/>
      <c r="L395" s="13"/>
      <c r="M395" s="97"/>
      <c r="N395"/>
    </row>
    <row r="396" spans="1:14" ht="18" x14ac:dyDescent="0.3">
      <c r="A396" s="122"/>
      <c r="B396" s="9">
        <f t="shared" ref="B396:C407" si="69">B353</f>
        <v>1</v>
      </c>
      <c r="C396" s="9">
        <f t="shared" si="69"/>
        <v>1</v>
      </c>
      <c r="D396" s="9" t="str">
        <f t="shared" si="68"/>
        <v>Petite Gâterie 1</v>
      </c>
      <c r="E396" s="93">
        <f t="shared" si="68"/>
        <v>1.21</v>
      </c>
      <c r="F396" s="68">
        <f t="shared" si="68"/>
        <v>3.3</v>
      </c>
      <c r="G396" s="17">
        <f t="shared" ref="G396:G408" si="70">E396/F396</f>
        <v>0.3666666666666667</v>
      </c>
      <c r="H396" s="18">
        <f t="shared" ref="H396:H408" si="71">F396-E396</f>
        <v>2.09</v>
      </c>
      <c r="I396" s="11">
        <f>F396</f>
        <v>3.3</v>
      </c>
      <c r="J396" s="106">
        <f>3/12</f>
        <v>0.25</v>
      </c>
      <c r="K396" s="19"/>
      <c r="L396" s="20"/>
      <c r="M396" s="54"/>
      <c r="N396"/>
    </row>
    <row r="397" spans="1:14" ht="18" x14ac:dyDescent="0.3">
      <c r="A397" s="122"/>
      <c r="B397" s="9">
        <f t="shared" si="69"/>
        <v>2</v>
      </c>
      <c r="C397" s="9">
        <f t="shared" si="69"/>
        <v>2</v>
      </c>
      <c r="D397" s="9" t="str">
        <f t="shared" si="68"/>
        <v>Petite Gâterie 2</v>
      </c>
      <c r="E397" s="93">
        <f t="shared" si="68"/>
        <v>1.31</v>
      </c>
      <c r="F397" s="16">
        <f t="shared" si="68"/>
        <v>3.8</v>
      </c>
      <c r="G397" s="17">
        <f t="shared" si="70"/>
        <v>0.34473684210526317</v>
      </c>
      <c r="H397" s="18">
        <f t="shared" si="71"/>
        <v>2.4899999999999998</v>
      </c>
      <c r="I397" s="11"/>
      <c r="J397" s="103"/>
      <c r="K397" s="22"/>
      <c r="L397" s="23"/>
      <c r="M397" s="54"/>
      <c r="N397"/>
    </row>
    <row r="398" spans="1:14" ht="19" thickBot="1" x14ac:dyDescent="0.35">
      <c r="A398" s="122"/>
      <c r="B398" s="24">
        <f t="shared" si="69"/>
        <v>3</v>
      </c>
      <c r="C398" s="24">
        <f t="shared" si="69"/>
        <v>3</v>
      </c>
      <c r="D398" s="24" t="str">
        <f t="shared" si="68"/>
        <v>Petite Gâterie 3</v>
      </c>
      <c r="E398" s="94">
        <f t="shared" si="68"/>
        <v>1.35</v>
      </c>
      <c r="F398" s="25">
        <f t="shared" si="68"/>
        <v>4</v>
      </c>
      <c r="G398" s="26">
        <f t="shared" si="70"/>
        <v>0.33750000000000002</v>
      </c>
      <c r="H398" s="27">
        <f t="shared" si="71"/>
        <v>2.65</v>
      </c>
      <c r="I398" s="28">
        <f>+I396+1.066667</f>
        <v>4.3666669999999996</v>
      </c>
      <c r="J398" s="107"/>
      <c r="K398" s="22"/>
      <c r="L398" s="23"/>
      <c r="M398" s="54"/>
      <c r="N398"/>
    </row>
    <row r="399" spans="1:14" ht="18" x14ac:dyDescent="0.3">
      <c r="A399" s="122"/>
      <c r="B399" s="9">
        <f t="shared" si="69"/>
        <v>4</v>
      </c>
      <c r="C399" s="9">
        <f t="shared" si="69"/>
        <v>4</v>
      </c>
      <c r="D399" s="9" t="str">
        <f t="shared" si="68"/>
        <v>Petite Gâterie 4</v>
      </c>
      <c r="E399" s="93">
        <f t="shared" si="68"/>
        <v>1.4</v>
      </c>
      <c r="F399" s="16">
        <f t="shared" si="68"/>
        <v>4.5</v>
      </c>
      <c r="G399" s="17">
        <f t="shared" si="70"/>
        <v>0.31111111111111112</v>
      </c>
      <c r="H399" s="18">
        <f t="shared" si="71"/>
        <v>3.1</v>
      </c>
      <c r="I399" s="11">
        <f>+I398+0.01</f>
        <v>4.3766669999999994</v>
      </c>
      <c r="J399" s="102">
        <f>7/12</f>
        <v>0.58333333333333337</v>
      </c>
      <c r="K399" s="19"/>
      <c r="L399" s="23"/>
      <c r="M399" s="54"/>
      <c r="N399"/>
    </row>
    <row r="400" spans="1:14" ht="18" x14ac:dyDescent="0.3">
      <c r="A400" s="122"/>
      <c r="B400" s="9">
        <f t="shared" si="69"/>
        <v>5</v>
      </c>
      <c r="C400" s="9">
        <f t="shared" si="69"/>
        <v>5</v>
      </c>
      <c r="D400" s="9" t="str">
        <f t="shared" si="68"/>
        <v>Petite Gâterie 5</v>
      </c>
      <c r="E400" s="93">
        <f t="shared" si="68"/>
        <v>1.24</v>
      </c>
      <c r="F400" s="16">
        <f t="shared" si="68"/>
        <v>4.5999999999999996</v>
      </c>
      <c r="G400" s="17">
        <f t="shared" si="70"/>
        <v>0.26956521739130435</v>
      </c>
      <c r="H400" s="18">
        <f t="shared" si="71"/>
        <v>3.3599999999999994</v>
      </c>
      <c r="I400" s="11"/>
      <c r="J400" s="103"/>
      <c r="K400" s="22"/>
      <c r="L400" s="23"/>
      <c r="M400" s="54"/>
      <c r="N400"/>
    </row>
    <row r="401" spans="1:14" ht="18" x14ac:dyDescent="0.3">
      <c r="A401" s="122"/>
      <c r="B401" s="9">
        <f t="shared" si="69"/>
        <v>6</v>
      </c>
      <c r="C401" s="9">
        <f t="shared" si="69"/>
        <v>6</v>
      </c>
      <c r="D401" s="9" t="str">
        <f t="shared" si="68"/>
        <v>Petite Gâterie 6</v>
      </c>
      <c r="E401" s="93">
        <f t="shared" si="68"/>
        <v>1.39</v>
      </c>
      <c r="F401" s="16">
        <f t="shared" si="68"/>
        <v>4.7</v>
      </c>
      <c r="G401" s="17">
        <f t="shared" si="70"/>
        <v>0.29574468085106381</v>
      </c>
      <c r="H401" s="18">
        <f t="shared" si="71"/>
        <v>3.3100000000000005</v>
      </c>
      <c r="I401" s="11"/>
      <c r="J401" s="103"/>
      <c r="K401" s="22"/>
      <c r="L401" s="23"/>
      <c r="M401" s="54"/>
      <c r="N401"/>
    </row>
    <row r="402" spans="1:14" ht="18" x14ac:dyDescent="0.3">
      <c r="A402" s="122"/>
      <c r="B402" s="9">
        <f t="shared" si="69"/>
        <v>7</v>
      </c>
      <c r="C402" s="9">
        <f t="shared" si="69"/>
        <v>7</v>
      </c>
      <c r="D402" s="9" t="str">
        <f t="shared" si="68"/>
        <v>Petite Gâterie 7</v>
      </c>
      <c r="E402" s="93">
        <f t="shared" si="68"/>
        <v>1.51</v>
      </c>
      <c r="F402" s="16">
        <f t="shared" si="68"/>
        <v>4.8</v>
      </c>
      <c r="G402" s="17">
        <f t="shared" si="70"/>
        <v>0.31458333333333333</v>
      </c>
      <c r="H402" s="18">
        <f t="shared" si="71"/>
        <v>3.29</v>
      </c>
      <c r="I402" s="11"/>
      <c r="J402" s="103"/>
      <c r="K402" s="22"/>
      <c r="L402" s="23"/>
      <c r="M402" s="54"/>
      <c r="N402"/>
    </row>
    <row r="403" spans="1:14" ht="18" x14ac:dyDescent="0.3">
      <c r="A403" s="122"/>
      <c r="B403" s="9">
        <f t="shared" si="69"/>
        <v>8</v>
      </c>
      <c r="C403" s="9">
        <f t="shared" si="69"/>
        <v>8</v>
      </c>
      <c r="D403" s="9" t="str">
        <f t="shared" si="68"/>
        <v>Petite Gâterie 8</v>
      </c>
      <c r="E403" s="93">
        <f t="shared" si="68"/>
        <v>1.53</v>
      </c>
      <c r="F403" s="16">
        <f t="shared" si="68"/>
        <v>4.9000000000000004</v>
      </c>
      <c r="G403" s="17">
        <f t="shared" si="70"/>
        <v>0.31224489795918364</v>
      </c>
      <c r="H403" s="18">
        <f t="shared" si="71"/>
        <v>3.37</v>
      </c>
      <c r="I403" s="11"/>
      <c r="J403" s="103"/>
      <c r="K403" s="22"/>
      <c r="L403" s="23"/>
      <c r="M403" s="54"/>
      <c r="N403"/>
    </row>
    <row r="404" spans="1:14" ht="18" x14ac:dyDescent="0.3">
      <c r="A404" s="122"/>
      <c r="B404" s="9">
        <f t="shared" si="69"/>
        <v>9</v>
      </c>
      <c r="C404" s="9">
        <f t="shared" si="69"/>
        <v>9</v>
      </c>
      <c r="D404" s="9" t="str">
        <f t="shared" si="68"/>
        <v>Petite Gâterie 9</v>
      </c>
      <c r="E404" s="93">
        <f t="shared" si="68"/>
        <v>1.55</v>
      </c>
      <c r="F404" s="16">
        <f t="shared" si="68"/>
        <v>5</v>
      </c>
      <c r="G404" s="17">
        <f t="shared" si="70"/>
        <v>0.31</v>
      </c>
      <c r="H404" s="18">
        <f t="shared" si="71"/>
        <v>3.45</v>
      </c>
      <c r="I404" s="11"/>
      <c r="J404" s="103"/>
      <c r="K404" s="22"/>
      <c r="L404" s="23"/>
      <c r="M404" s="54"/>
      <c r="N404"/>
    </row>
    <row r="405" spans="1:14" ht="19" thickBot="1" x14ac:dyDescent="0.35">
      <c r="A405" s="122"/>
      <c r="B405" s="24">
        <f t="shared" si="69"/>
        <v>10</v>
      </c>
      <c r="C405" s="24">
        <f t="shared" si="69"/>
        <v>10</v>
      </c>
      <c r="D405" s="24" t="str">
        <f t="shared" si="68"/>
        <v>Petite Gâterie 10</v>
      </c>
      <c r="E405" s="94">
        <f t="shared" si="68"/>
        <v>1.59</v>
      </c>
      <c r="F405" s="25">
        <f t="shared" si="68"/>
        <v>5.2</v>
      </c>
      <c r="G405" s="26">
        <f t="shared" si="70"/>
        <v>0.30576923076923079</v>
      </c>
      <c r="H405" s="27">
        <f t="shared" si="71"/>
        <v>3.6100000000000003</v>
      </c>
      <c r="I405" s="28">
        <f>+I398+1.066667</f>
        <v>5.4333339999999994</v>
      </c>
      <c r="J405" s="107"/>
      <c r="K405" s="22"/>
      <c r="L405" s="23"/>
      <c r="M405" s="54"/>
      <c r="N405"/>
    </row>
    <row r="406" spans="1:14" ht="18" x14ac:dyDescent="0.3">
      <c r="A406" s="122"/>
      <c r="B406" s="9">
        <f t="shared" si="69"/>
        <v>11</v>
      </c>
      <c r="C406" s="9">
        <f t="shared" si="69"/>
        <v>11</v>
      </c>
      <c r="D406" s="9" t="str">
        <f t="shared" si="68"/>
        <v>Petite Gâterie 11</v>
      </c>
      <c r="E406" s="93">
        <f t="shared" si="68"/>
        <v>1.83</v>
      </c>
      <c r="F406" s="16">
        <f t="shared" si="68"/>
        <v>6.4</v>
      </c>
      <c r="G406" s="17">
        <f t="shared" si="70"/>
        <v>0.28593750000000001</v>
      </c>
      <c r="H406" s="18">
        <f t="shared" si="71"/>
        <v>4.57</v>
      </c>
      <c r="I406" s="11">
        <f>+I405+0.01</f>
        <v>5.4433339999999992</v>
      </c>
      <c r="J406" s="102">
        <f>2/12</f>
        <v>0.16666666666666666</v>
      </c>
      <c r="K406" s="19"/>
      <c r="L406" s="23"/>
      <c r="M406" s="54"/>
      <c r="N406"/>
    </row>
    <row r="407" spans="1:14" ht="18" x14ac:dyDescent="0.3">
      <c r="A407" s="122"/>
      <c r="B407" s="9">
        <f t="shared" si="69"/>
        <v>12</v>
      </c>
      <c r="C407" s="9">
        <f t="shared" si="69"/>
        <v>12</v>
      </c>
      <c r="D407" s="9" t="str">
        <f t="shared" si="68"/>
        <v>Petite Gâterie 12</v>
      </c>
      <c r="E407" s="93">
        <f t="shared" si="68"/>
        <v>1.87</v>
      </c>
      <c r="F407" s="16">
        <f t="shared" si="68"/>
        <v>6.6</v>
      </c>
      <c r="G407" s="17">
        <f t="shared" si="70"/>
        <v>0.28333333333333338</v>
      </c>
      <c r="H407" s="18">
        <f t="shared" si="71"/>
        <v>4.7299999999999995</v>
      </c>
      <c r="I407" s="11">
        <f>F407</f>
        <v>6.6</v>
      </c>
      <c r="J407" s="103"/>
      <c r="K407" s="22"/>
      <c r="L407" s="23"/>
      <c r="M407" s="54"/>
      <c r="N407"/>
    </row>
    <row r="408" spans="1:14" ht="19" x14ac:dyDescent="0.35">
      <c r="A408" s="122"/>
      <c r="B408" s="9"/>
      <c r="C408" s="9"/>
      <c r="D408" s="10" t="str">
        <f t="shared" si="68"/>
        <v>CmO—PmO—Food Cost—BmO</v>
      </c>
      <c r="E408" s="29">
        <f>SUM(E396:E407)/C407</f>
        <v>1.4816666666666667</v>
      </c>
      <c r="F408" s="29">
        <f>SUM(F396:F407)/C407</f>
        <v>4.8166666666666673</v>
      </c>
      <c r="G408" s="31">
        <f t="shared" si="70"/>
        <v>0.30761245674740478</v>
      </c>
      <c r="H408" s="32">
        <f t="shared" si="71"/>
        <v>3.3350000000000009</v>
      </c>
      <c r="I408" s="33"/>
      <c r="J408" s="9"/>
      <c r="K408" s="9"/>
      <c r="L408" s="91">
        <v>1</v>
      </c>
      <c r="M408" s="54">
        <f>$M$21</f>
        <v>196</v>
      </c>
      <c r="N408"/>
    </row>
    <row r="409" spans="1:14" ht="18" x14ac:dyDescent="0.3">
      <c r="A409" s="122"/>
      <c r="B409" s="9" t="s">
        <v>7</v>
      </c>
      <c r="C409" s="9"/>
      <c r="D409" s="9"/>
      <c r="E409" s="15"/>
      <c r="F409" s="15"/>
      <c r="G409" s="17"/>
      <c r="H409" s="35"/>
      <c r="I409" s="11"/>
      <c r="J409" s="9"/>
      <c r="K409" s="9"/>
      <c r="L409" s="23"/>
      <c r="M409" s="54"/>
      <c r="N409"/>
    </row>
    <row r="410" spans="1:14" ht="18" x14ac:dyDescent="0.3">
      <c r="A410" s="122"/>
      <c r="B410" s="9"/>
      <c r="C410" s="9"/>
      <c r="D410" s="10" t="str">
        <f t="shared" ref="D410:F423" si="72">D367</f>
        <v>Les Boissons  Gâteries</v>
      </c>
      <c r="E410" s="15"/>
      <c r="F410" s="15"/>
      <c r="G410" s="17"/>
      <c r="H410" s="35"/>
      <c r="I410" s="11"/>
      <c r="J410" s="9"/>
      <c r="K410" s="9"/>
      <c r="L410" s="23"/>
      <c r="M410" s="54"/>
      <c r="N410"/>
    </row>
    <row r="411" spans="1:14" ht="18" x14ac:dyDescent="0.3">
      <c r="A411" s="122"/>
      <c r="B411" s="9">
        <f t="shared" ref="B411:C422" si="73">B368</f>
        <v>13</v>
      </c>
      <c r="C411" s="9">
        <f t="shared" si="73"/>
        <v>1</v>
      </c>
      <c r="D411" s="9" t="str">
        <f t="shared" si="72"/>
        <v>Boisson spécial numéro 1</v>
      </c>
      <c r="E411" s="93">
        <f t="shared" si="72"/>
        <v>2.2799999999999998</v>
      </c>
      <c r="F411" s="68">
        <f>F368</f>
        <v>6.6</v>
      </c>
      <c r="G411" s="17">
        <f>E411/F411</f>
        <v>0.34545454545454546</v>
      </c>
      <c r="H411" s="18">
        <f>F411-E411</f>
        <v>4.32</v>
      </c>
      <c r="I411" s="11">
        <f>F411</f>
        <v>6.6</v>
      </c>
      <c r="J411" s="106">
        <f>3/12</f>
        <v>0.25</v>
      </c>
      <c r="K411" s="19"/>
      <c r="L411" s="23"/>
      <c r="M411" s="54"/>
      <c r="N411"/>
    </row>
    <row r="412" spans="1:14" ht="18" x14ac:dyDescent="0.3">
      <c r="A412" s="122"/>
      <c r="B412" s="9">
        <f t="shared" si="73"/>
        <v>14</v>
      </c>
      <c r="C412" s="9">
        <f t="shared" si="73"/>
        <v>2</v>
      </c>
      <c r="D412" s="9" t="str">
        <f t="shared" si="72"/>
        <v>Boisson spécial numéro 2</v>
      </c>
      <c r="E412" s="93">
        <f t="shared" si="72"/>
        <v>2.66</v>
      </c>
      <c r="F412" s="68">
        <f t="shared" si="72"/>
        <v>7.6</v>
      </c>
      <c r="G412" s="17">
        <f>E412/F412</f>
        <v>0.35000000000000003</v>
      </c>
      <c r="H412" s="18">
        <f>F412-E412</f>
        <v>4.9399999999999995</v>
      </c>
      <c r="I412" s="11"/>
      <c r="J412" s="103"/>
      <c r="K412" s="22"/>
      <c r="L412" s="23"/>
      <c r="M412" s="54"/>
      <c r="N412"/>
    </row>
    <row r="413" spans="1:14" ht="19" thickBot="1" x14ac:dyDescent="0.35">
      <c r="A413" s="122"/>
      <c r="B413" s="24">
        <f t="shared" si="73"/>
        <v>15</v>
      </c>
      <c r="C413" s="24">
        <f t="shared" si="73"/>
        <v>3</v>
      </c>
      <c r="D413" s="24" t="str">
        <f t="shared" si="72"/>
        <v>Boisson spécial numéro 3</v>
      </c>
      <c r="E413" s="94">
        <f t="shared" si="72"/>
        <v>2.74</v>
      </c>
      <c r="F413" s="88">
        <f t="shared" si="72"/>
        <v>8</v>
      </c>
      <c r="G413" s="26">
        <f>E413/F413</f>
        <v>0.34250000000000003</v>
      </c>
      <c r="H413" s="27">
        <f>F413-E413</f>
        <v>5.26</v>
      </c>
      <c r="I413" s="28">
        <f>+I411+2.1</f>
        <v>8.6999999999999993</v>
      </c>
      <c r="J413" s="107"/>
      <c r="K413" s="22"/>
      <c r="L413" s="23"/>
      <c r="M413" s="54"/>
      <c r="N413"/>
    </row>
    <row r="414" spans="1:14" ht="18" x14ac:dyDescent="0.3">
      <c r="A414" s="122"/>
      <c r="B414" s="9">
        <f t="shared" si="73"/>
        <v>16</v>
      </c>
      <c r="C414" s="9">
        <f t="shared" si="73"/>
        <v>4</v>
      </c>
      <c r="D414" s="9" t="str">
        <f t="shared" si="72"/>
        <v>Boisson spécial numéro 4</v>
      </c>
      <c r="E414" s="93">
        <f t="shared" si="72"/>
        <v>2.72</v>
      </c>
      <c r="F414" s="68">
        <f>F371</f>
        <v>9</v>
      </c>
      <c r="G414" s="17">
        <f t="shared" ref="G414:G421" si="74">E414/F414</f>
        <v>0.30222222222222223</v>
      </c>
      <c r="H414" s="18">
        <f t="shared" ref="H414:H421" si="75">F414-E414</f>
        <v>6.2799999999999994</v>
      </c>
      <c r="I414" s="11">
        <f>+I413+0.01</f>
        <v>8.7099999999999991</v>
      </c>
      <c r="J414" s="106">
        <f>7/12</f>
        <v>0.58333333333333337</v>
      </c>
      <c r="K414" s="19"/>
      <c r="L414" s="23"/>
      <c r="M414" s="54"/>
      <c r="N414"/>
    </row>
    <row r="415" spans="1:14" ht="18" x14ac:dyDescent="0.3">
      <c r="A415" s="122"/>
      <c r="B415" s="9">
        <f t="shared" si="73"/>
        <v>17</v>
      </c>
      <c r="C415" s="9">
        <f t="shared" si="73"/>
        <v>5</v>
      </c>
      <c r="D415" s="9" t="str">
        <f t="shared" si="72"/>
        <v>Boisson spécial numéro 5</v>
      </c>
      <c r="E415" s="93">
        <f t="shared" si="72"/>
        <v>2.76</v>
      </c>
      <c r="F415" s="68">
        <f t="shared" si="72"/>
        <v>9.1999999999999993</v>
      </c>
      <c r="G415" s="17">
        <f t="shared" si="74"/>
        <v>0.3</v>
      </c>
      <c r="H415" s="18">
        <f t="shared" si="75"/>
        <v>6.4399999999999995</v>
      </c>
      <c r="I415" s="11"/>
      <c r="J415" s="103"/>
      <c r="K415" s="22"/>
      <c r="L415" s="23"/>
      <c r="M415" s="54"/>
      <c r="N415"/>
    </row>
    <row r="416" spans="1:14" ht="18" x14ac:dyDescent="0.3">
      <c r="A416" s="122"/>
      <c r="B416" s="9">
        <f t="shared" si="73"/>
        <v>18</v>
      </c>
      <c r="C416" s="9">
        <f t="shared" si="73"/>
        <v>6</v>
      </c>
      <c r="D416" s="9" t="str">
        <f t="shared" si="72"/>
        <v>Boisson spécial numéro 6</v>
      </c>
      <c r="E416" s="93">
        <f t="shared" si="72"/>
        <v>2.8</v>
      </c>
      <c r="F416" s="16">
        <f t="shared" si="72"/>
        <v>9.4</v>
      </c>
      <c r="G416" s="17">
        <f t="shared" si="74"/>
        <v>0.2978723404255319</v>
      </c>
      <c r="H416" s="18">
        <f t="shared" si="75"/>
        <v>6.6000000000000005</v>
      </c>
      <c r="I416" s="11"/>
      <c r="J416" s="103"/>
      <c r="K416" s="22"/>
      <c r="L416" s="23"/>
      <c r="M416" s="54"/>
      <c r="N416"/>
    </row>
    <row r="417" spans="1:14" ht="18" x14ac:dyDescent="0.3">
      <c r="A417" s="122"/>
      <c r="B417" s="9">
        <f t="shared" si="73"/>
        <v>19</v>
      </c>
      <c r="C417" s="9">
        <f t="shared" si="73"/>
        <v>7</v>
      </c>
      <c r="D417" s="9" t="str">
        <f t="shared" si="72"/>
        <v>Boisson spécial numéro 7</v>
      </c>
      <c r="E417" s="93">
        <f t="shared" si="72"/>
        <v>2.82</v>
      </c>
      <c r="F417" s="16">
        <f t="shared" si="72"/>
        <v>9.6</v>
      </c>
      <c r="G417" s="17">
        <f t="shared" si="74"/>
        <v>0.29375000000000001</v>
      </c>
      <c r="H417" s="18">
        <f t="shared" si="75"/>
        <v>6.7799999999999994</v>
      </c>
      <c r="I417" s="11"/>
      <c r="J417" s="103"/>
      <c r="K417" s="22"/>
      <c r="L417" s="23"/>
      <c r="M417" s="54"/>
      <c r="N417"/>
    </row>
    <row r="418" spans="1:14" ht="18" x14ac:dyDescent="0.3">
      <c r="A418" s="122"/>
      <c r="B418" s="9">
        <f t="shared" si="73"/>
        <v>20</v>
      </c>
      <c r="C418" s="9">
        <f t="shared" si="73"/>
        <v>8</v>
      </c>
      <c r="D418" s="9" t="str">
        <f t="shared" si="72"/>
        <v>Boisson spécial numéro 8</v>
      </c>
      <c r="E418" s="93">
        <f t="shared" si="72"/>
        <v>2.86</v>
      </c>
      <c r="F418" s="16">
        <f t="shared" si="72"/>
        <v>9.8000000000000007</v>
      </c>
      <c r="G418" s="17">
        <f t="shared" si="74"/>
        <v>0.2918367346938775</v>
      </c>
      <c r="H418" s="18">
        <f t="shared" si="75"/>
        <v>6.9400000000000013</v>
      </c>
      <c r="I418" s="11"/>
      <c r="J418" s="103"/>
      <c r="K418" s="22"/>
      <c r="L418" s="23"/>
      <c r="M418" s="54"/>
      <c r="N418"/>
    </row>
    <row r="419" spans="1:14" ht="18" x14ac:dyDescent="0.3">
      <c r="A419" s="122"/>
      <c r="B419" s="9">
        <f t="shared" si="73"/>
        <v>21</v>
      </c>
      <c r="C419" s="9">
        <f t="shared" si="73"/>
        <v>9</v>
      </c>
      <c r="D419" s="9" t="str">
        <f t="shared" si="72"/>
        <v>Boisson spécial numéro 9</v>
      </c>
      <c r="E419" s="93">
        <f t="shared" si="72"/>
        <v>2.9</v>
      </c>
      <c r="F419" s="16">
        <f t="shared" si="72"/>
        <v>10</v>
      </c>
      <c r="G419" s="17">
        <f t="shared" si="74"/>
        <v>0.28999999999999998</v>
      </c>
      <c r="H419" s="18">
        <f t="shared" si="75"/>
        <v>7.1</v>
      </c>
      <c r="I419" s="11"/>
      <c r="J419" s="103"/>
      <c r="K419" s="22"/>
      <c r="L419" s="23"/>
      <c r="M419" s="54"/>
      <c r="N419"/>
    </row>
    <row r="420" spans="1:14" ht="19" thickBot="1" x14ac:dyDescent="0.35">
      <c r="A420" s="122"/>
      <c r="B420" s="24">
        <f t="shared" si="73"/>
        <v>22</v>
      </c>
      <c r="C420" s="24">
        <f t="shared" si="73"/>
        <v>10</v>
      </c>
      <c r="D420" s="24" t="str">
        <f t="shared" si="72"/>
        <v>Boisson spécial numéro 10</v>
      </c>
      <c r="E420" s="94">
        <f t="shared" si="72"/>
        <v>2.98</v>
      </c>
      <c r="F420" s="25">
        <f t="shared" si="72"/>
        <v>10.4</v>
      </c>
      <c r="G420" s="26">
        <f t="shared" si="74"/>
        <v>0.28653846153846152</v>
      </c>
      <c r="H420" s="27">
        <f t="shared" si="75"/>
        <v>7.42</v>
      </c>
      <c r="I420" s="28">
        <f>+I413+2.1</f>
        <v>10.799999999999999</v>
      </c>
      <c r="J420" s="107"/>
      <c r="K420" s="22"/>
      <c r="L420" s="23"/>
      <c r="M420" s="54"/>
      <c r="N420"/>
    </row>
    <row r="421" spans="1:14" ht="18" x14ac:dyDescent="0.3">
      <c r="A421" s="122"/>
      <c r="B421" s="9">
        <f t="shared" si="73"/>
        <v>23</v>
      </c>
      <c r="C421" s="9">
        <f t="shared" si="73"/>
        <v>11</v>
      </c>
      <c r="D421" s="9" t="str">
        <f t="shared" si="72"/>
        <v>Boisson spécial numéro 11</v>
      </c>
      <c r="E421" s="93">
        <f t="shared" si="72"/>
        <v>3.18</v>
      </c>
      <c r="F421" s="16">
        <f t="shared" si="72"/>
        <v>11.6</v>
      </c>
      <c r="G421" s="17">
        <f t="shared" si="74"/>
        <v>0.27413793103448281</v>
      </c>
      <c r="H421" s="18">
        <f t="shared" si="75"/>
        <v>8.42</v>
      </c>
      <c r="I421" s="11">
        <f>+I420+0.01</f>
        <v>10.809999999999999</v>
      </c>
      <c r="J421" s="102">
        <f>2/12</f>
        <v>0.16666666666666666</v>
      </c>
      <c r="K421" s="19"/>
      <c r="L421" s="23"/>
      <c r="M421" s="54"/>
      <c r="N421"/>
    </row>
    <row r="422" spans="1:14" ht="18" x14ac:dyDescent="0.3">
      <c r="A422" s="122"/>
      <c r="B422" s="9">
        <f t="shared" si="73"/>
        <v>24</v>
      </c>
      <c r="C422" s="9">
        <f t="shared" si="73"/>
        <v>12</v>
      </c>
      <c r="D422" s="9" t="str">
        <f t="shared" si="72"/>
        <v>Boisson spécial numéro 12</v>
      </c>
      <c r="E422" s="93">
        <f t="shared" si="72"/>
        <v>3.48</v>
      </c>
      <c r="F422" s="16">
        <f t="shared" si="72"/>
        <v>13.2</v>
      </c>
      <c r="G422" s="17">
        <f>E422/F422</f>
        <v>0.26363636363636367</v>
      </c>
      <c r="H422" s="18">
        <f>F422-E422</f>
        <v>9.7199999999999989</v>
      </c>
      <c r="I422" s="11">
        <f>F422</f>
        <v>13.2</v>
      </c>
      <c r="J422" s="103"/>
      <c r="K422" s="22"/>
      <c r="L422" s="23"/>
      <c r="M422" s="54"/>
      <c r="N422"/>
    </row>
    <row r="423" spans="1:14" ht="19" x14ac:dyDescent="0.35">
      <c r="A423" s="122"/>
      <c r="B423" s="9"/>
      <c r="C423" s="9"/>
      <c r="D423" s="10" t="str">
        <f t="shared" si="72"/>
        <v>CmO—PmO—Beverage Cost—Marge brute</v>
      </c>
      <c r="E423" s="29">
        <f>SUM(E411:E422)/C422</f>
        <v>2.8483333333333332</v>
      </c>
      <c r="F423" s="29">
        <f>SUM(F411:F422)/C422</f>
        <v>9.5333333333333332</v>
      </c>
      <c r="G423" s="36">
        <f>E423/F423</f>
        <v>0.29877622377622376</v>
      </c>
      <c r="H423" s="32">
        <f>F423-E423</f>
        <v>6.6850000000000005</v>
      </c>
      <c r="I423" s="33"/>
      <c r="J423" s="9"/>
      <c r="K423" s="9"/>
      <c r="L423" s="91">
        <v>1</v>
      </c>
      <c r="M423" s="54">
        <f>$M$21</f>
        <v>196</v>
      </c>
      <c r="N423"/>
    </row>
    <row r="424" spans="1:14" ht="19" thickBot="1" x14ac:dyDescent="0.35">
      <c r="A424" s="122"/>
      <c r="B424" s="9"/>
      <c r="C424" s="9"/>
      <c r="D424" s="9"/>
      <c r="E424" s="15"/>
      <c r="F424" s="15"/>
      <c r="G424" s="12"/>
      <c r="H424" s="35"/>
      <c r="I424" s="9"/>
      <c r="J424" s="9"/>
      <c r="K424" s="9"/>
      <c r="L424" s="23"/>
      <c r="M424" s="54"/>
      <c r="N424"/>
    </row>
    <row r="425" spans="1:14" ht="21" thickTop="1" thickBot="1" x14ac:dyDescent="0.4">
      <c r="A425" s="122"/>
      <c r="B425" s="9"/>
      <c r="C425" s="37"/>
      <c r="D425" s="38"/>
      <c r="E425" s="39"/>
      <c r="F425" s="39"/>
      <c r="G425" s="40"/>
      <c r="H425" s="41"/>
      <c r="I425" s="42"/>
      <c r="J425" s="9"/>
      <c r="K425" s="9"/>
      <c r="L425" s="23"/>
      <c r="M425" s="54"/>
      <c r="N425"/>
    </row>
    <row r="426" spans="1:14" ht="20" thickTop="1" thickBot="1" x14ac:dyDescent="0.35">
      <c r="A426" s="122"/>
      <c r="B426" s="9"/>
      <c r="C426" s="44"/>
      <c r="D426" s="10"/>
      <c r="E426" s="45" t="str">
        <f>E383</f>
        <v>CmO</v>
      </c>
      <c r="F426" s="45" t="str">
        <f>F383</f>
        <v>PmO</v>
      </c>
      <c r="G426" s="46" t="str">
        <f>G383</f>
        <v>F&amp;BCmO</v>
      </c>
      <c r="H426" s="47" t="str">
        <f>H383</f>
        <v>BmO</v>
      </c>
      <c r="I426" s="48"/>
      <c r="J426" s="9"/>
      <c r="K426" s="9"/>
      <c r="L426" s="23"/>
      <c r="M426" s="54"/>
      <c r="N426"/>
    </row>
    <row r="427" spans="1:14" ht="19" thickTop="1" x14ac:dyDescent="0.3">
      <c r="A427" s="122"/>
      <c r="B427" s="9"/>
      <c r="C427" s="44"/>
      <c r="D427" s="49" t="str">
        <f>D384</f>
        <v>OFFRE TOTALE AVEC LES GÂTERIES ET LES CAFÉS GÂTERIES</v>
      </c>
      <c r="E427" s="15"/>
      <c r="F427" s="15"/>
      <c r="G427" s="12"/>
      <c r="H427" s="35"/>
      <c r="I427" s="50"/>
      <c r="J427" s="9"/>
      <c r="K427" s="9"/>
      <c r="L427" s="23"/>
      <c r="M427" s="54"/>
      <c r="N427"/>
    </row>
    <row r="428" spans="1:14" ht="19" x14ac:dyDescent="0.35">
      <c r="A428" s="122"/>
      <c r="B428" s="9"/>
      <c r="C428" s="44"/>
      <c r="D428" s="10" t="str">
        <f>D385</f>
        <v>CmO—PmO—F&amp;B cost moyen offert—Marge brute</v>
      </c>
      <c r="E428" s="30">
        <f>+(E396+E397+E398+E399+E400+E401+E402+E403+E404+E405+E406+E407+E411+E412+E413+E414+E415+E416+E417+E418+E419+E420+E421+E422)/B422</f>
        <v>2.1649999999999996</v>
      </c>
      <c r="F428" s="30">
        <f>+(F396+F397+F398+F399+F400+F401+F402+F403+F404+F405+F406+F407+F411+F412+F413+F414+F415+F416+F417+F418+F419+F420+F421+F422)/B422</f>
        <v>7.1749999999999998</v>
      </c>
      <c r="G428" s="51">
        <f>E428/F428</f>
        <v>0.30174216027874562</v>
      </c>
      <c r="H428" s="52">
        <f>F428-E428</f>
        <v>5.01</v>
      </c>
      <c r="I428" s="53"/>
      <c r="J428" s="9"/>
      <c r="K428" s="9"/>
      <c r="L428" s="23">
        <f>L385</f>
        <v>2</v>
      </c>
      <c r="M428" s="54">
        <f>$M$21</f>
        <v>196</v>
      </c>
      <c r="N428"/>
    </row>
    <row r="429" spans="1:14" ht="18" x14ac:dyDescent="0.3">
      <c r="A429" s="122"/>
      <c r="B429" s="9"/>
      <c r="C429" s="44"/>
      <c r="D429" s="9"/>
      <c r="E429" s="55"/>
      <c r="F429" s="55"/>
      <c r="G429" s="56"/>
      <c r="H429" s="57"/>
      <c r="I429" s="58"/>
      <c r="J429" s="9"/>
      <c r="K429" s="9"/>
      <c r="L429" s="23"/>
      <c r="M429" s="54"/>
      <c r="N429"/>
    </row>
    <row r="430" spans="1:14" ht="19" thickBot="1" x14ac:dyDescent="0.35">
      <c r="A430" s="122"/>
      <c r="B430" s="9"/>
      <c r="C430" s="59"/>
      <c r="D430" s="60"/>
      <c r="E430" s="61"/>
      <c r="F430" s="61"/>
      <c r="G430" s="62"/>
      <c r="H430" s="63"/>
      <c r="I430" s="64"/>
      <c r="J430" s="9"/>
      <c r="K430" s="9"/>
      <c r="L430" s="65"/>
      <c r="M430" s="98"/>
      <c r="N430"/>
    </row>
    <row r="431" spans="1:14" ht="19" thickTop="1" x14ac:dyDescent="0.3">
      <c r="A431" s="122"/>
      <c r="L431" s="69"/>
      <c r="M431" s="70"/>
      <c r="N431"/>
    </row>
    <row r="432" spans="1:14" ht="23" x14ac:dyDescent="0.3">
      <c r="A432" s="122"/>
      <c r="D432" s="2" t="s">
        <v>58</v>
      </c>
      <c r="F432" s="3"/>
      <c r="L432" s="69"/>
      <c r="M432" s="70"/>
      <c r="N432"/>
    </row>
    <row r="433" spans="1:14" ht="24" thickBot="1" x14ac:dyDescent="0.35">
      <c r="A433" s="122"/>
      <c r="D433" s="4"/>
      <c r="L433" s="69"/>
      <c r="M433" s="70"/>
      <c r="N433"/>
    </row>
    <row r="434" spans="1:14" ht="23" customHeight="1" thickTop="1" x14ac:dyDescent="0.25">
      <c r="A434" s="122"/>
      <c r="D434" s="4"/>
      <c r="E434" s="108" t="str">
        <f>E391</f>
        <v>Coûts des ressources alimentaires pour chaque produit offert (voir recettes standardisées)</v>
      </c>
      <c r="F434" s="108" t="str">
        <f>F391</f>
        <v>Prix de vente par produit offert</v>
      </c>
      <c r="G434" s="108" t="str">
        <f>G391</f>
        <v xml:space="preserve">« Food &amp; Beverage Cost » </v>
      </c>
      <c r="H434" s="108" t="str">
        <f>H391</f>
        <v>Marge brute gagnée sur la vente de chaque produit offert</v>
      </c>
      <c r="I434" s="5"/>
      <c r="L434" s="113" t="s">
        <v>5</v>
      </c>
      <c r="M434" s="113" t="s">
        <v>6</v>
      </c>
      <c r="N434"/>
    </row>
    <row r="435" spans="1:14" ht="22" x14ac:dyDescent="0.25">
      <c r="A435" s="122"/>
      <c r="D435" s="4"/>
      <c r="E435" s="109"/>
      <c r="F435" s="111"/>
      <c r="G435" s="111"/>
      <c r="H435" s="111"/>
      <c r="I435" s="6"/>
      <c r="L435" s="114"/>
      <c r="M435" s="116"/>
      <c r="N435"/>
    </row>
    <row r="436" spans="1:14" ht="14" customHeight="1" thickBot="1" x14ac:dyDescent="0.25">
      <c r="A436" s="122"/>
      <c r="E436" s="110"/>
      <c r="F436" s="112"/>
      <c r="G436" s="112"/>
      <c r="H436" s="112"/>
      <c r="I436" s="6"/>
      <c r="L436" s="115"/>
      <c r="M436" s="117"/>
      <c r="N436"/>
    </row>
    <row r="437" spans="1:14" ht="20" thickTop="1" thickBot="1" x14ac:dyDescent="0.35">
      <c r="A437" s="122"/>
      <c r="B437" s="1" t="s">
        <v>7</v>
      </c>
      <c r="E437" s="3"/>
      <c r="F437" s="3"/>
      <c r="G437" s="7"/>
      <c r="L437" s="69"/>
      <c r="M437" s="70"/>
      <c r="N437"/>
    </row>
    <row r="438" spans="1:14" ht="19" thickTop="1" x14ac:dyDescent="0.3">
      <c r="A438" s="122"/>
      <c r="B438" s="9"/>
      <c r="C438" s="9"/>
      <c r="D438" s="10" t="str">
        <f t="shared" ref="D438:F451" si="76">D395</f>
        <v>Les Petite Gâteries</v>
      </c>
      <c r="E438" s="11"/>
      <c r="F438" s="11"/>
      <c r="G438" s="12"/>
      <c r="H438" s="9"/>
      <c r="I438" s="9"/>
      <c r="J438" s="9"/>
      <c r="K438" s="9"/>
      <c r="L438" s="13"/>
      <c r="M438" s="97"/>
      <c r="N438"/>
    </row>
    <row r="439" spans="1:14" ht="18" x14ac:dyDescent="0.3">
      <c r="A439" s="122"/>
      <c r="B439" s="9">
        <f t="shared" ref="B439:C450" si="77">B396</f>
        <v>1</v>
      </c>
      <c r="C439" s="9">
        <f t="shared" si="77"/>
        <v>1</v>
      </c>
      <c r="D439" s="9" t="str">
        <f t="shared" si="76"/>
        <v>Petite Gâterie 1</v>
      </c>
      <c r="E439" s="93">
        <f t="shared" si="76"/>
        <v>1.21</v>
      </c>
      <c r="F439" s="16">
        <f t="shared" si="76"/>
        <v>3.3</v>
      </c>
      <c r="G439" s="17">
        <f t="shared" ref="G439:G451" si="78">E439/F439</f>
        <v>0.3666666666666667</v>
      </c>
      <c r="H439" s="18">
        <f t="shared" ref="H439:H451" si="79">F439-E439</f>
        <v>2.09</v>
      </c>
      <c r="I439" s="11"/>
      <c r="J439" s="9"/>
      <c r="K439" s="9"/>
      <c r="L439" s="20"/>
      <c r="M439" s="54"/>
      <c r="N439"/>
    </row>
    <row r="440" spans="1:14" ht="18" x14ac:dyDescent="0.3">
      <c r="A440" s="122"/>
      <c r="B440" s="9">
        <f t="shared" si="77"/>
        <v>2</v>
      </c>
      <c r="C440" s="9">
        <f t="shared" si="77"/>
        <v>2</v>
      </c>
      <c r="D440" s="9" t="str">
        <f t="shared" si="76"/>
        <v>Petite Gâterie 2</v>
      </c>
      <c r="E440" s="93">
        <f t="shared" si="76"/>
        <v>1.31</v>
      </c>
      <c r="F440" s="16">
        <f t="shared" si="76"/>
        <v>3.8</v>
      </c>
      <c r="G440" s="17">
        <f t="shared" si="78"/>
        <v>0.34473684210526317</v>
      </c>
      <c r="H440" s="18">
        <f t="shared" si="79"/>
        <v>2.4899999999999998</v>
      </c>
      <c r="I440" s="11"/>
      <c r="J440" s="9"/>
      <c r="K440" s="9"/>
      <c r="L440" s="23"/>
      <c r="M440" s="54"/>
      <c r="N440"/>
    </row>
    <row r="441" spans="1:14" ht="18" x14ac:dyDescent="0.3">
      <c r="A441" s="122"/>
      <c r="B441" s="9">
        <f t="shared" si="77"/>
        <v>3</v>
      </c>
      <c r="C441" s="9">
        <f t="shared" si="77"/>
        <v>3</v>
      </c>
      <c r="D441" s="9" t="str">
        <f t="shared" si="76"/>
        <v>Petite Gâterie 3</v>
      </c>
      <c r="E441" s="93">
        <f t="shared" si="76"/>
        <v>1.35</v>
      </c>
      <c r="F441" s="16">
        <f t="shared" si="76"/>
        <v>4</v>
      </c>
      <c r="G441" s="17">
        <f t="shared" si="78"/>
        <v>0.33750000000000002</v>
      </c>
      <c r="H441" s="18">
        <f t="shared" si="79"/>
        <v>2.65</v>
      </c>
      <c r="I441" s="11"/>
      <c r="J441" s="9"/>
      <c r="K441" s="9"/>
      <c r="L441" s="23"/>
      <c r="M441" s="54"/>
      <c r="N441"/>
    </row>
    <row r="442" spans="1:14" ht="18" x14ac:dyDescent="0.3">
      <c r="A442" s="122"/>
      <c r="B442" s="9">
        <f t="shared" si="77"/>
        <v>4</v>
      </c>
      <c r="C442" s="9">
        <f t="shared" si="77"/>
        <v>4</v>
      </c>
      <c r="D442" s="9" t="str">
        <f t="shared" si="76"/>
        <v>Petite Gâterie 4</v>
      </c>
      <c r="E442" s="93">
        <f t="shared" si="76"/>
        <v>1.4</v>
      </c>
      <c r="F442" s="16">
        <f t="shared" si="76"/>
        <v>4.5</v>
      </c>
      <c r="G442" s="17">
        <f t="shared" si="78"/>
        <v>0.31111111111111112</v>
      </c>
      <c r="H442" s="18">
        <f t="shared" si="79"/>
        <v>3.1</v>
      </c>
      <c r="I442" s="11"/>
      <c r="J442" s="9"/>
      <c r="K442" s="9"/>
      <c r="L442" s="23"/>
      <c r="M442" s="54"/>
      <c r="N442"/>
    </row>
    <row r="443" spans="1:14" ht="18" x14ac:dyDescent="0.3">
      <c r="A443" s="122"/>
      <c r="B443" s="9">
        <f t="shared" si="77"/>
        <v>5</v>
      </c>
      <c r="C443" s="9">
        <f t="shared" si="77"/>
        <v>5</v>
      </c>
      <c r="D443" s="9" t="str">
        <f t="shared" si="76"/>
        <v>Petite Gâterie 5</v>
      </c>
      <c r="E443" s="93">
        <f t="shared" si="76"/>
        <v>1.24</v>
      </c>
      <c r="F443" s="16">
        <f t="shared" si="76"/>
        <v>4.5999999999999996</v>
      </c>
      <c r="G443" s="17">
        <f t="shared" si="78"/>
        <v>0.26956521739130435</v>
      </c>
      <c r="H443" s="18">
        <f t="shared" si="79"/>
        <v>3.3599999999999994</v>
      </c>
      <c r="I443" s="11"/>
      <c r="J443" s="9"/>
      <c r="K443" s="9"/>
      <c r="L443" s="23"/>
      <c r="M443" s="54"/>
      <c r="N443"/>
    </row>
    <row r="444" spans="1:14" ht="18" x14ac:dyDescent="0.3">
      <c r="A444" s="122"/>
      <c r="B444" s="9">
        <f t="shared" si="77"/>
        <v>6</v>
      </c>
      <c r="C444" s="9">
        <f t="shared" si="77"/>
        <v>6</v>
      </c>
      <c r="D444" s="9" t="str">
        <f t="shared" si="76"/>
        <v>Petite Gâterie 6</v>
      </c>
      <c r="E444" s="93">
        <f t="shared" si="76"/>
        <v>1.39</v>
      </c>
      <c r="F444" s="16">
        <f t="shared" si="76"/>
        <v>4.7</v>
      </c>
      <c r="G444" s="17">
        <f t="shared" si="78"/>
        <v>0.29574468085106381</v>
      </c>
      <c r="H444" s="18">
        <f t="shared" si="79"/>
        <v>3.3100000000000005</v>
      </c>
      <c r="I444" s="11"/>
      <c r="J444" s="9"/>
      <c r="K444" s="9"/>
      <c r="L444" s="23"/>
      <c r="M444" s="54"/>
      <c r="N444"/>
    </row>
    <row r="445" spans="1:14" ht="18" x14ac:dyDescent="0.3">
      <c r="A445" s="122"/>
      <c r="B445" s="9">
        <f t="shared" si="77"/>
        <v>7</v>
      </c>
      <c r="C445" s="9">
        <f t="shared" si="77"/>
        <v>7</v>
      </c>
      <c r="D445" s="9" t="str">
        <f t="shared" si="76"/>
        <v>Petite Gâterie 7</v>
      </c>
      <c r="E445" s="93">
        <f t="shared" si="76"/>
        <v>1.51</v>
      </c>
      <c r="F445" s="16">
        <f t="shared" si="76"/>
        <v>4.8</v>
      </c>
      <c r="G445" s="17">
        <f t="shared" si="78"/>
        <v>0.31458333333333333</v>
      </c>
      <c r="H445" s="18">
        <f t="shared" si="79"/>
        <v>3.29</v>
      </c>
      <c r="I445" s="11"/>
      <c r="J445" s="9"/>
      <c r="K445" s="9"/>
      <c r="L445" s="23"/>
      <c r="M445" s="54"/>
      <c r="N445"/>
    </row>
    <row r="446" spans="1:14" ht="18" x14ac:dyDescent="0.3">
      <c r="A446" s="122"/>
      <c r="B446" s="9">
        <f t="shared" si="77"/>
        <v>8</v>
      </c>
      <c r="C446" s="9">
        <f t="shared" si="77"/>
        <v>8</v>
      </c>
      <c r="D446" s="9" t="str">
        <f t="shared" si="76"/>
        <v>Petite Gâterie 8</v>
      </c>
      <c r="E446" s="93">
        <f t="shared" si="76"/>
        <v>1.53</v>
      </c>
      <c r="F446" s="16">
        <f t="shared" si="76"/>
        <v>4.9000000000000004</v>
      </c>
      <c r="G446" s="17">
        <f t="shared" si="78"/>
        <v>0.31224489795918364</v>
      </c>
      <c r="H446" s="18">
        <f t="shared" si="79"/>
        <v>3.37</v>
      </c>
      <c r="I446" s="11"/>
      <c r="J446" s="9"/>
      <c r="K446" s="9"/>
      <c r="L446" s="23"/>
      <c r="M446" s="54"/>
      <c r="N446"/>
    </row>
    <row r="447" spans="1:14" ht="18" x14ac:dyDescent="0.3">
      <c r="A447" s="122"/>
      <c r="B447" s="9">
        <f t="shared" si="77"/>
        <v>9</v>
      </c>
      <c r="C447" s="9">
        <f t="shared" si="77"/>
        <v>9</v>
      </c>
      <c r="D447" s="9" t="str">
        <f t="shared" si="76"/>
        <v>Petite Gâterie 9</v>
      </c>
      <c r="E447" s="93">
        <f t="shared" si="76"/>
        <v>1.55</v>
      </c>
      <c r="F447" s="16">
        <f t="shared" si="76"/>
        <v>5</v>
      </c>
      <c r="G447" s="17">
        <f t="shared" si="78"/>
        <v>0.31</v>
      </c>
      <c r="H447" s="18">
        <f t="shared" si="79"/>
        <v>3.45</v>
      </c>
      <c r="I447" s="11"/>
      <c r="J447" s="9"/>
      <c r="K447" s="9"/>
      <c r="L447" s="23"/>
      <c r="M447" s="54"/>
      <c r="N447"/>
    </row>
    <row r="448" spans="1:14" ht="18" x14ac:dyDescent="0.3">
      <c r="A448" s="122"/>
      <c r="B448" s="9">
        <f t="shared" si="77"/>
        <v>10</v>
      </c>
      <c r="C448" s="9">
        <f t="shared" si="77"/>
        <v>10</v>
      </c>
      <c r="D448" s="9" t="str">
        <f t="shared" si="76"/>
        <v>Petite Gâterie 10</v>
      </c>
      <c r="E448" s="93">
        <f t="shared" si="76"/>
        <v>1.59</v>
      </c>
      <c r="F448" s="16">
        <f t="shared" si="76"/>
        <v>5.2</v>
      </c>
      <c r="G448" s="17">
        <f t="shared" si="78"/>
        <v>0.30576923076923079</v>
      </c>
      <c r="H448" s="18">
        <f t="shared" si="79"/>
        <v>3.6100000000000003</v>
      </c>
      <c r="I448" s="11"/>
      <c r="J448" s="9"/>
      <c r="K448" s="9"/>
      <c r="L448" s="23"/>
      <c r="M448" s="54"/>
      <c r="N448"/>
    </row>
    <row r="449" spans="1:14" ht="18" x14ac:dyDescent="0.3">
      <c r="A449" s="122"/>
      <c r="B449" s="9">
        <f t="shared" si="77"/>
        <v>11</v>
      </c>
      <c r="C449" s="9">
        <f t="shared" si="77"/>
        <v>11</v>
      </c>
      <c r="D449" s="9" t="str">
        <f t="shared" si="76"/>
        <v>Petite Gâterie 11</v>
      </c>
      <c r="E449" s="93">
        <f t="shared" si="76"/>
        <v>1.83</v>
      </c>
      <c r="F449" s="16">
        <f t="shared" si="76"/>
        <v>6.4</v>
      </c>
      <c r="G449" s="17">
        <f t="shared" si="78"/>
        <v>0.28593750000000001</v>
      </c>
      <c r="H449" s="18">
        <f t="shared" si="79"/>
        <v>4.57</v>
      </c>
      <c r="I449" s="11"/>
      <c r="J449" s="9"/>
      <c r="K449" s="9"/>
      <c r="L449" s="23"/>
      <c r="M449" s="54"/>
      <c r="N449"/>
    </row>
    <row r="450" spans="1:14" ht="18" x14ac:dyDescent="0.3">
      <c r="A450" s="122"/>
      <c r="B450" s="9">
        <f t="shared" si="77"/>
        <v>12</v>
      </c>
      <c r="C450" s="9">
        <f t="shared" si="77"/>
        <v>12</v>
      </c>
      <c r="D450" s="9" t="str">
        <f t="shared" si="76"/>
        <v>Petite Gâterie 12</v>
      </c>
      <c r="E450" s="93">
        <f t="shared" si="76"/>
        <v>1.87</v>
      </c>
      <c r="F450" s="16">
        <f t="shared" si="76"/>
        <v>6.6</v>
      </c>
      <c r="G450" s="17">
        <f t="shared" si="78"/>
        <v>0.28333333333333338</v>
      </c>
      <c r="H450" s="18">
        <f t="shared" si="79"/>
        <v>4.7299999999999995</v>
      </c>
      <c r="I450" s="11"/>
      <c r="J450" s="9"/>
      <c r="K450" s="9"/>
      <c r="L450" s="23"/>
      <c r="M450" s="54"/>
      <c r="N450"/>
    </row>
    <row r="451" spans="1:14" ht="19" x14ac:dyDescent="0.35">
      <c r="A451" s="122"/>
      <c r="B451" s="9"/>
      <c r="C451" s="9"/>
      <c r="D451" s="10" t="str">
        <f t="shared" si="76"/>
        <v>CmO—PmO—Food Cost—BmO</v>
      </c>
      <c r="E451" s="29">
        <f>SUM(E439:E450)/C450</f>
        <v>1.4816666666666667</v>
      </c>
      <c r="F451" s="29">
        <f>SUM(F439:F450)/C450</f>
        <v>4.8166666666666673</v>
      </c>
      <c r="G451" s="31">
        <f t="shared" si="78"/>
        <v>0.30761245674740478</v>
      </c>
      <c r="H451" s="32">
        <f t="shared" si="79"/>
        <v>3.3350000000000009</v>
      </c>
      <c r="I451" s="33"/>
      <c r="J451" s="9"/>
      <c r="K451" s="9"/>
      <c r="L451" s="91">
        <v>1</v>
      </c>
      <c r="M451" s="54">
        <f>$M$21</f>
        <v>196</v>
      </c>
      <c r="N451"/>
    </row>
    <row r="452" spans="1:14" ht="18" x14ac:dyDescent="0.3">
      <c r="A452" s="122"/>
      <c r="B452" s="9" t="s">
        <v>7</v>
      </c>
      <c r="C452" s="9"/>
      <c r="D452" s="9"/>
      <c r="E452" s="15"/>
      <c r="F452" s="15"/>
      <c r="G452" s="17"/>
      <c r="H452" s="35"/>
      <c r="I452" s="9"/>
      <c r="J452" s="9"/>
      <c r="K452" s="9"/>
      <c r="L452" s="23"/>
      <c r="M452" s="54"/>
      <c r="N452"/>
    </row>
    <row r="453" spans="1:14" ht="18" x14ac:dyDescent="0.3">
      <c r="A453" s="122"/>
      <c r="B453" s="9"/>
      <c r="C453" s="9"/>
      <c r="D453" s="10" t="str">
        <f t="shared" ref="D453:F466" si="80">D410</f>
        <v>Les Boissons  Gâteries</v>
      </c>
      <c r="E453" s="15"/>
      <c r="F453" s="15"/>
      <c r="G453" s="17"/>
      <c r="H453" s="35"/>
      <c r="I453" s="9"/>
      <c r="J453" s="9"/>
      <c r="K453" s="9"/>
      <c r="L453" s="23"/>
      <c r="M453" s="54"/>
      <c r="N453"/>
    </row>
    <row r="454" spans="1:14" ht="18" x14ac:dyDescent="0.3">
      <c r="A454" s="122"/>
      <c r="B454" s="9">
        <f t="shared" ref="B454:C465" si="81">B411</f>
        <v>13</v>
      </c>
      <c r="C454" s="9">
        <f t="shared" si="81"/>
        <v>1</v>
      </c>
      <c r="D454" s="9" t="str">
        <f t="shared" si="80"/>
        <v>Boisson spécial numéro 1</v>
      </c>
      <c r="E454" s="93">
        <f t="shared" si="80"/>
        <v>2.2799999999999998</v>
      </c>
      <c r="F454" s="16">
        <f t="shared" si="80"/>
        <v>6.6</v>
      </c>
      <c r="G454" s="17">
        <f>E454/F454</f>
        <v>0.34545454545454546</v>
      </c>
      <c r="H454" s="18">
        <f>F454-E454</f>
        <v>4.32</v>
      </c>
      <c r="I454" s="11"/>
      <c r="J454" s="9"/>
      <c r="K454" s="9"/>
      <c r="L454" s="23"/>
      <c r="M454" s="54"/>
      <c r="N454"/>
    </row>
    <row r="455" spans="1:14" ht="18" x14ac:dyDescent="0.3">
      <c r="A455" s="122"/>
      <c r="B455" s="9">
        <f t="shared" si="81"/>
        <v>14</v>
      </c>
      <c r="C455" s="9">
        <f t="shared" si="81"/>
        <v>2</v>
      </c>
      <c r="D455" s="9" t="str">
        <f t="shared" si="80"/>
        <v>Boisson spécial numéro 2</v>
      </c>
      <c r="E455" s="93">
        <f t="shared" si="80"/>
        <v>2.66</v>
      </c>
      <c r="F455" s="16">
        <f t="shared" si="80"/>
        <v>7.6</v>
      </c>
      <c r="G455" s="17">
        <f>E455/F455</f>
        <v>0.35000000000000003</v>
      </c>
      <c r="H455" s="18">
        <f>F455-E455</f>
        <v>4.9399999999999995</v>
      </c>
      <c r="I455" s="11"/>
      <c r="J455" s="9"/>
      <c r="K455" s="9"/>
      <c r="L455" s="23"/>
      <c r="M455" s="54"/>
      <c r="N455"/>
    </row>
    <row r="456" spans="1:14" ht="18" x14ac:dyDescent="0.3">
      <c r="A456" s="122"/>
      <c r="B456" s="9">
        <f t="shared" si="81"/>
        <v>15</v>
      </c>
      <c r="C456" s="9">
        <f t="shared" si="81"/>
        <v>3</v>
      </c>
      <c r="D456" s="9" t="str">
        <f t="shared" si="80"/>
        <v>Boisson spécial numéro 3</v>
      </c>
      <c r="E456" s="93">
        <f t="shared" si="80"/>
        <v>2.74</v>
      </c>
      <c r="F456" s="16">
        <f t="shared" si="80"/>
        <v>8</v>
      </c>
      <c r="G456" s="17">
        <f>E456/F456</f>
        <v>0.34250000000000003</v>
      </c>
      <c r="H456" s="18">
        <f>F456-E456</f>
        <v>5.26</v>
      </c>
      <c r="I456" s="11"/>
      <c r="J456" s="9"/>
      <c r="K456" s="9"/>
      <c r="L456" s="23"/>
      <c r="M456" s="54"/>
      <c r="N456"/>
    </row>
    <row r="457" spans="1:14" ht="18" x14ac:dyDescent="0.3">
      <c r="A457" s="122"/>
      <c r="B457" s="9">
        <f t="shared" si="81"/>
        <v>16</v>
      </c>
      <c r="C457" s="9">
        <f t="shared" si="81"/>
        <v>4</v>
      </c>
      <c r="D457" s="9" t="str">
        <f t="shared" si="80"/>
        <v>Boisson spécial numéro 4</v>
      </c>
      <c r="E457" s="93">
        <f t="shared" si="80"/>
        <v>2.72</v>
      </c>
      <c r="F457" s="16">
        <f t="shared" si="80"/>
        <v>9</v>
      </c>
      <c r="G457" s="17">
        <f t="shared" ref="G457:G464" si="82">E457/F457</f>
        <v>0.30222222222222223</v>
      </c>
      <c r="H457" s="18">
        <f t="shared" ref="H457:H464" si="83">F457-E457</f>
        <v>6.2799999999999994</v>
      </c>
      <c r="I457" s="11"/>
      <c r="J457" s="9"/>
      <c r="K457" s="9"/>
      <c r="L457" s="23"/>
      <c r="M457" s="54"/>
      <c r="N457"/>
    </row>
    <row r="458" spans="1:14" ht="18" x14ac:dyDescent="0.3">
      <c r="A458" s="122"/>
      <c r="B458" s="9">
        <f t="shared" si="81"/>
        <v>17</v>
      </c>
      <c r="C458" s="9">
        <f t="shared" si="81"/>
        <v>5</v>
      </c>
      <c r="D458" s="9" t="str">
        <f t="shared" si="80"/>
        <v>Boisson spécial numéro 5</v>
      </c>
      <c r="E458" s="93">
        <f t="shared" si="80"/>
        <v>2.76</v>
      </c>
      <c r="F458" s="16">
        <f t="shared" si="80"/>
        <v>9.1999999999999993</v>
      </c>
      <c r="G458" s="17">
        <f t="shared" si="82"/>
        <v>0.3</v>
      </c>
      <c r="H458" s="18">
        <f t="shared" si="83"/>
        <v>6.4399999999999995</v>
      </c>
      <c r="I458" s="11"/>
      <c r="J458" s="9"/>
      <c r="K458" s="9"/>
      <c r="L458" s="23"/>
      <c r="M458" s="54"/>
      <c r="N458"/>
    </row>
    <row r="459" spans="1:14" ht="18" x14ac:dyDescent="0.3">
      <c r="A459" s="122"/>
      <c r="B459" s="9">
        <f t="shared" si="81"/>
        <v>18</v>
      </c>
      <c r="C459" s="9">
        <f t="shared" si="81"/>
        <v>6</v>
      </c>
      <c r="D459" s="9" t="str">
        <f t="shared" si="80"/>
        <v>Boisson spécial numéro 6</v>
      </c>
      <c r="E459" s="93">
        <f t="shared" si="80"/>
        <v>2.8</v>
      </c>
      <c r="F459" s="16">
        <f t="shared" si="80"/>
        <v>9.4</v>
      </c>
      <c r="G459" s="17">
        <f t="shared" si="82"/>
        <v>0.2978723404255319</v>
      </c>
      <c r="H459" s="18">
        <f t="shared" si="83"/>
        <v>6.6000000000000005</v>
      </c>
      <c r="I459" s="11"/>
      <c r="J459" s="9"/>
      <c r="K459" s="9"/>
      <c r="L459" s="23"/>
      <c r="M459" s="54"/>
      <c r="N459"/>
    </row>
    <row r="460" spans="1:14" ht="18" x14ac:dyDescent="0.3">
      <c r="A460" s="122"/>
      <c r="B460" s="9">
        <f t="shared" si="81"/>
        <v>19</v>
      </c>
      <c r="C460" s="9">
        <f t="shared" si="81"/>
        <v>7</v>
      </c>
      <c r="D460" s="9" t="str">
        <f t="shared" si="80"/>
        <v>Boisson spécial numéro 7</v>
      </c>
      <c r="E460" s="93">
        <f t="shared" si="80"/>
        <v>2.82</v>
      </c>
      <c r="F460" s="16">
        <f t="shared" si="80"/>
        <v>9.6</v>
      </c>
      <c r="G460" s="17">
        <f t="shared" si="82"/>
        <v>0.29375000000000001</v>
      </c>
      <c r="H460" s="18">
        <f t="shared" si="83"/>
        <v>6.7799999999999994</v>
      </c>
      <c r="I460" s="11"/>
      <c r="J460" s="9"/>
      <c r="K460" s="9"/>
      <c r="L460" s="23"/>
      <c r="M460" s="54"/>
      <c r="N460"/>
    </row>
    <row r="461" spans="1:14" ht="18" x14ac:dyDescent="0.3">
      <c r="A461" s="122"/>
      <c r="B461" s="9">
        <f t="shared" si="81"/>
        <v>20</v>
      </c>
      <c r="C461" s="9">
        <f t="shared" si="81"/>
        <v>8</v>
      </c>
      <c r="D461" s="9" t="str">
        <f t="shared" si="80"/>
        <v>Boisson spécial numéro 8</v>
      </c>
      <c r="E461" s="93">
        <f t="shared" si="80"/>
        <v>2.86</v>
      </c>
      <c r="F461" s="16">
        <f t="shared" si="80"/>
        <v>9.8000000000000007</v>
      </c>
      <c r="G461" s="17">
        <f t="shared" si="82"/>
        <v>0.2918367346938775</v>
      </c>
      <c r="H461" s="18">
        <f t="shared" si="83"/>
        <v>6.9400000000000013</v>
      </c>
      <c r="I461" s="11"/>
      <c r="J461" s="9"/>
      <c r="K461" s="9"/>
      <c r="L461" s="23"/>
      <c r="M461" s="54"/>
      <c r="N461"/>
    </row>
    <row r="462" spans="1:14" ht="18" x14ac:dyDescent="0.3">
      <c r="A462" s="122"/>
      <c r="B462" s="9">
        <f t="shared" si="81"/>
        <v>21</v>
      </c>
      <c r="C462" s="9">
        <f t="shared" si="81"/>
        <v>9</v>
      </c>
      <c r="D462" s="9" t="str">
        <f t="shared" si="80"/>
        <v>Boisson spécial numéro 9</v>
      </c>
      <c r="E462" s="93">
        <f t="shared" si="80"/>
        <v>2.9</v>
      </c>
      <c r="F462" s="16">
        <f t="shared" si="80"/>
        <v>10</v>
      </c>
      <c r="G462" s="17">
        <f t="shared" si="82"/>
        <v>0.28999999999999998</v>
      </c>
      <c r="H462" s="18">
        <f t="shared" si="83"/>
        <v>7.1</v>
      </c>
      <c r="I462" s="11"/>
      <c r="J462" s="9"/>
      <c r="K462" s="9"/>
      <c r="L462" s="23"/>
      <c r="M462" s="54"/>
      <c r="N462"/>
    </row>
    <row r="463" spans="1:14" ht="18" x14ac:dyDescent="0.3">
      <c r="A463" s="122"/>
      <c r="B463" s="9">
        <f t="shared" si="81"/>
        <v>22</v>
      </c>
      <c r="C463" s="9">
        <f t="shared" si="81"/>
        <v>10</v>
      </c>
      <c r="D463" s="9" t="str">
        <f t="shared" si="80"/>
        <v>Boisson spécial numéro 10</v>
      </c>
      <c r="E463" s="93">
        <f t="shared" si="80"/>
        <v>2.98</v>
      </c>
      <c r="F463" s="16">
        <f t="shared" si="80"/>
        <v>10.4</v>
      </c>
      <c r="G463" s="17">
        <f t="shared" si="82"/>
        <v>0.28653846153846152</v>
      </c>
      <c r="H463" s="18">
        <f t="shared" si="83"/>
        <v>7.42</v>
      </c>
      <c r="I463" s="11"/>
      <c r="J463" s="9"/>
      <c r="K463" s="9"/>
      <c r="L463" s="23"/>
      <c r="M463" s="54"/>
      <c r="N463"/>
    </row>
    <row r="464" spans="1:14" ht="18" x14ac:dyDescent="0.3">
      <c r="A464" s="122"/>
      <c r="B464" s="9">
        <f t="shared" si="81"/>
        <v>23</v>
      </c>
      <c r="C464" s="9">
        <f t="shared" si="81"/>
        <v>11</v>
      </c>
      <c r="D464" s="9" t="str">
        <f t="shared" si="80"/>
        <v>Boisson spécial numéro 11</v>
      </c>
      <c r="E464" s="93">
        <f t="shared" si="80"/>
        <v>3.18</v>
      </c>
      <c r="F464" s="16">
        <f t="shared" si="80"/>
        <v>11.6</v>
      </c>
      <c r="G464" s="17">
        <f t="shared" si="82"/>
        <v>0.27413793103448281</v>
      </c>
      <c r="H464" s="18">
        <f t="shared" si="83"/>
        <v>8.42</v>
      </c>
      <c r="I464" s="11"/>
      <c r="J464" s="9"/>
      <c r="K464" s="9"/>
      <c r="L464" s="23"/>
      <c r="M464" s="54"/>
      <c r="N464"/>
    </row>
    <row r="465" spans="1:14" ht="18" x14ac:dyDescent="0.3">
      <c r="A465" s="122"/>
      <c r="B465" s="9">
        <f t="shared" si="81"/>
        <v>24</v>
      </c>
      <c r="C465" s="9">
        <f t="shared" si="81"/>
        <v>12</v>
      </c>
      <c r="D465" s="9" t="str">
        <f t="shared" si="80"/>
        <v>Boisson spécial numéro 12</v>
      </c>
      <c r="E465" s="93">
        <f t="shared" si="80"/>
        <v>3.48</v>
      </c>
      <c r="F465" s="16">
        <f t="shared" si="80"/>
        <v>13.2</v>
      </c>
      <c r="G465" s="17">
        <f>E465/F465</f>
        <v>0.26363636363636367</v>
      </c>
      <c r="H465" s="18">
        <f>F465-E465</f>
        <v>9.7199999999999989</v>
      </c>
      <c r="I465" s="11"/>
      <c r="J465" s="9"/>
      <c r="K465" s="9"/>
      <c r="L465" s="23"/>
      <c r="M465" s="54"/>
      <c r="N465"/>
    </row>
    <row r="466" spans="1:14" ht="19" x14ac:dyDescent="0.35">
      <c r="A466" s="122"/>
      <c r="B466" s="9"/>
      <c r="C466" s="9"/>
      <c r="D466" s="10" t="str">
        <f t="shared" si="80"/>
        <v>CmO—PmO—Beverage Cost—Marge brute</v>
      </c>
      <c r="E466" s="29">
        <f>SUM(E454:E465)/C465</f>
        <v>2.8483333333333332</v>
      </c>
      <c r="F466" s="29">
        <f>SUM(F454:F465)/C465</f>
        <v>9.5333333333333332</v>
      </c>
      <c r="G466" s="36">
        <f>E466/F466</f>
        <v>0.29877622377622376</v>
      </c>
      <c r="H466" s="32">
        <f>F466-E466</f>
        <v>6.6850000000000005</v>
      </c>
      <c r="I466" s="33"/>
      <c r="J466" s="9"/>
      <c r="K466" s="9"/>
      <c r="L466" s="91">
        <v>1</v>
      </c>
      <c r="M466" s="54">
        <f>$M$21</f>
        <v>196</v>
      </c>
      <c r="N466"/>
    </row>
    <row r="467" spans="1:14" ht="19" thickBot="1" x14ac:dyDescent="0.35">
      <c r="A467" s="122"/>
      <c r="B467" s="9"/>
      <c r="C467" s="9"/>
      <c r="D467" s="9"/>
      <c r="E467" s="15"/>
      <c r="F467" s="15"/>
      <c r="G467" s="12"/>
      <c r="H467" s="35"/>
      <c r="I467" s="9"/>
      <c r="J467" s="9"/>
      <c r="K467" s="9"/>
      <c r="L467" s="23"/>
      <c r="M467" s="54"/>
      <c r="N467"/>
    </row>
    <row r="468" spans="1:14" ht="21" thickTop="1" thickBot="1" x14ac:dyDescent="0.4">
      <c r="A468" s="122"/>
      <c r="B468" s="9"/>
      <c r="C468" s="37"/>
      <c r="D468" s="38"/>
      <c r="E468" s="39"/>
      <c r="F468" s="39"/>
      <c r="G468" s="40"/>
      <c r="H468" s="41"/>
      <c r="I468" s="42"/>
      <c r="J468" s="9"/>
      <c r="K468" s="9"/>
      <c r="L468" s="23"/>
      <c r="M468" s="54"/>
      <c r="N468"/>
    </row>
    <row r="469" spans="1:14" ht="20" thickTop="1" thickBot="1" x14ac:dyDescent="0.35">
      <c r="A469" s="122"/>
      <c r="B469" s="9"/>
      <c r="C469" s="44"/>
      <c r="D469" s="10"/>
      <c r="E469" s="45" t="str">
        <f>E426</f>
        <v>CmO</v>
      </c>
      <c r="F469" s="45" t="str">
        <f>F426</f>
        <v>PmO</v>
      </c>
      <c r="G469" s="46" t="str">
        <f>G426</f>
        <v>F&amp;BCmO</v>
      </c>
      <c r="H469" s="47" t="str">
        <f>H426</f>
        <v>BmO</v>
      </c>
      <c r="I469" s="48"/>
      <c r="J469" s="9"/>
      <c r="K469" s="9"/>
      <c r="L469" s="23"/>
      <c r="M469" s="54"/>
      <c r="N469"/>
    </row>
    <row r="470" spans="1:14" ht="19" thickTop="1" x14ac:dyDescent="0.3">
      <c r="A470" s="122"/>
      <c r="B470" s="9"/>
      <c r="C470" s="44"/>
      <c r="D470" s="49" t="str">
        <f>D427</f>
        <v>OFFRE TOTALE AVEC LES GÂTERIES ET LES CAFÉS GÂTERIES</v>
      </c>
      <c r="E470" s="15"/>
      <c r="F470" s="15"/>
      <c r="G470" s="12"/>
      <c r="H470" s="35"/>
      <c r="I470" s="50"/>
      <c r="J470" s="9"/>
      <c r="K470" s="9"/>
      <c r="L470" s="23"/>
      <c r="M470" s="54"/>
      <c r="N470"/>
    </row>
    <row r="471" spans="1:14" ht="19" x14ac:dyDescent="0.35">
      <c r="A471" s="122"/>
      <c r="B471" s="9"/>
      <c r="C471" s="44"/>
      <c r="D471" s="10" t="str">
        <f>D428</f>
        <v>CmO—PmO—F&amp;B cost moyen offert—Marge brute</v>
      </c>
      <c r="E471" s="30">
        <f>+(E439+E440+E441+E442+E443+E444+E445+E446+E447+E448+E449+E450+E454+E455+E456+E457+E458+E459+E460+E461+E462+E463+E464+E465)/B465</f>
        <v>2.1649999999999996</v>
      </c>
      <c r="F471" s="30">
        <f>+(F439+F440+F441+F442+F443+F444+F445+F446+F447+F448+F449+F450+F454+F455+F456+F457+F458+F459+F460+F461+F462+F463+F464+F465)/B465</f>
        <v>7.1749999999999998</v>
      </c>
      <c r="G471" s="51">
        <f>E471/F471</f>
        <v>0.30174216027874562</v>
      </c>
      <c r="H471" s="30">
        <f>F471-E471</f>
        <v>5.01</v>
      </c>
      <c r="I471" s="53"/>
      <c r="J471" s="9"/>
      <c r="K471" s="9"/>
      <c r="L471" s="23">
        <f>L428</f>
        <v>2</v>
      </c>
      <c r="M471" s="54">
        <f>$M$21</f>
        <v>196</v>
      </c>
      <c r="N471"/>
    </row>
    <row r="472" spans="1:14" ht="18" x14ac:dyDescent="0.3">
      <c r="A472" s="122"/>
      <c r="B472" s="9"/>
      <c r="C472" s="44"/>
      <c r="D472" s="9"/>
      <c r="E472" s="55"/>
      <c r="F472" s="55"/>
      <c r="G472" s="56"/>
      <c r="H472" s="57"/>
      <c r="I472" s="58"/>
      <c r="J472" s="9"/>
      <c r="K472" s="9"/>
      <c r="L472" s="23"/>
      <c r="M472" s="54"/>
      <c r="N472"/>
    </row>
    <row r="473" spans="1:14" ht="19" thickBot="1" x14ac:dyDescent="0.35">
      <c r="A473" s="122"/>
      <c r="B473" s="9"/>
      <c r="C473" s="59"/>
      <c r="D473" s="60"/>
      <c r="E473" s="61"/>
      <c r="F473" s="61"/>
      <c r="G473" s="62"/>
      <c r="H473" s="63"/>
      <c r="I473" s="64"/>
      <c r="J473" s="9"/>
      <c r="K473" s="9"/>
      <c r="L473" s="65"/>
      <c r="M473" s="98"/>
      <c r="N473"/>
    </row>
    <row r="474" spans="1:14" ht="19" thickTop="1" x14ac:dyDescent="0.3">
      <c r="A474" s="122"/>
      <c r="L474" s="69"/>
      <c r="M474" s="70"/>
      <c r="N474"/>
    </row>
    <row r="475" spans="1:14" ht="23" x14ac:dyDescent="0.3">
      <c r="A475" s="122"/>
      <c r="D475" s="2" t="s">
        <v>59</v>
      </c>
      <c r="F475" s="3"/>
      <c r="L475" s="69"/>
      <c r="M475" s="70"/>
      <c r="N475"/>
    </row>
    <row r="476" spans="1:14" ht="24" thickBot="1" x14ac:dyDescent="0.35">
      <c r="A476" s="122"/>
      <c r="D476" s="4"/>
      <c r="L476" s="69"/>
      <c r="M476" s="70"/>
      <c r="N476"/>
    </row>
    <row r="477" spans="1:14" ht="23" customHeight="1" thickTop="1" x14ac:dyDescent="0.25">
      <c r="A477" s="122"/>
      <c r="D477" s="4"/>
      <c r="E477" s="108" t="str">
        <f>E434</f>
        <v>Coûts des ressources alimentaires pour chaque produit offert (voir recettes standardisées)</v>
      </c>
      <c r="F477" s="108" t="str">
        <f>F434</f>
        <v>Prix de vente par produit offert</v>
      </c>
      <c r="G477" s="108" t="str">
        <f>G434</f>
        <v xml:space="preserve">« Food &amp; Beverage Cost » </v>
      </c>
      <c r="H477" s="108" t="str">
        <f>H434</f>
        <v>Marge brute gagnée sur la vente de chaque produit offert</v>
      </c>
      <c r="I477" s="5"/>
      <c r="L477" s="113" t="s">
        <v>5</v>
      </c>
      <c r="M477" s="113" t="s">
        <v>6</v>
      </c>
      <c r="N477"/>
    </row>
    <row r="478" spans="1:14" ht="22" x14ac:dyDescent="0.25">
      <c r="A478" s="122"/>
      <c r="D478" s="4"/>
      <c r="E478" s="109"/>
      <c r="F478" s="111"/>
      <c r="G478" s="111"/>
      <c r="H478" s="111"/>
      <c r="I478" s="6"/>
      <c r="L478" s="114"/>
      <c r="M478" s="116"/>
      <c r="N478"/>
    </row>
    <row r="479" spans="1:14" ht="14" customHeight="1" thickBot="1" x14ac:dyDescent="0.25">
      <c r="A479" s="122"/>
      <c r="E479" s="110"/>
      <c r="F479" s="112"/>
      <c r="G479" s="112"/>
      <c r="H479" s="112"/>
      <c r="I479" s="6"/>
      <c r="L479" s="115"/>
      <c r="M479" s="117"/>
      <c r="N479"/>
    </row>
    <row r="480" spans="1:14" ht="20" thickTop="1" thickBot="1" x14ac:dyDescent="0.35">
      <c r="A480" s="122"/>
      <c r="B480" s="1" t="s">
        <v>7</v>
      </c>
      <c r="E480" s="3"/>
      <c r="F480" s="3"/>
      <c r="G480" s="7"/>
      <c r="L480" s="69"/>
      <c r="M480" s="70"/>
      <c r="N480"/>
    </row>
    <row r="481" spans="1:14" ht="19" thickTop="1" x14ac:dyDescent="0.3">
      <c r="A481" s="122"/>
      <c r="B481" s="9"/>
      <c r="C481" s="9"/>
      <c r="D481" s="10" t="str">
        <f t="shared" ref="D481:F494" si="84">D438</f>
        <v>Les Petite Gâteries</v>
      </c>
      <c r="E481" s="11"/>
      <c r="F481" s="11"/>
      <c r="G481" s="12"/>
      <c r="H481" s="9"/>
      <c r="I481" s="9"/>
      <c r="J481" s="9"/>
      <c r="K481" s="9"/>
      <c r="L481" s="13"/>
      <c r="M481" s="97"/>
      <c r="N481"/>
    </row>
    <row r="482" spans="1:14" ht="18" x14ac:dyDescent="0.3">
      <c r="A482" s="122"/>
      <c r="B482" s="9">
        <f t="shared" ref="B482:C493" si="85">B439</f>
        <v>1</v>
      </c>
      <c r="C482" s="9">
        <f t="shared" si="85"/>
        <v>1</v>
      </c>
      <c r="D482" s="9" t="str">
        <f t="shared" si="84"/>
        <v>Petite Gâterie 1</v>
      </c>
      <c r="E482" s="93">
        <f>E439</f>
        <v>1.21</v>
      </c>
      <c r="F482" s="16">
        <f>F439</f>
        <v>3.3</v>
      </c>
      <c r="G482" s="17">
        <f t="shared" ref="G482:G494" si="86">E482/F482</f>
        <v>0.3666666666666667</v>
      </c>
      <c r="H482" s="18">
        <f t="shared" ref="H482:H494" si="87">F482-E482</f>
        <v>2.09</v>
      </c>
      <c r="I482" s="11"/>
      <c r="J482" s="9"/>
      <c r="K482" s="9"/>
      <c r="L482" s="20"/>
      <c r="M482" s="54"/>
      <c r="N482"/>
    </row>
    <row r="483" spans="1:14" ht="18" x14ac:dyDescent="0.3">
      <c r="A483" s="122"/>
      <c r="B483" s="9">
        <f t="shared" si="85"/>
        <v>2</v>
      </c>
      <c r="C483" s="9">
        <f t="shared" si="85"/>
        <v>2</v>
      </c>
      <c r="D483" s="9" t="str">
        <f t="shared" si="84"/>
        <v>Petite Gâterie 2</v>
      </c>
      <c r="E483" s="93">
        <f t="shared" si="84"/>
        <v>1.31</v>
      </c>
      <c r="F483" s="16">
        <f t="shared" si="84"/>
        <v>3.8</v>
      </c>
      <c r="G483" s="17">
        <f t="shared" si="86"/>
        <v>0.34473684210526317</v>
      </c>
      <c r="H483" s="18">
        <f t="shared" si="87"/>
        <v>2.4899999999999998</v>
      </c>
      <c r="I483" s="11"/>
      <c r="J483" s="9"/>
      <c r="K483" s="9"/>
      <c r="L483" s="23"/>
      <c r="M483" s="54"/>
      <c r="N483"/>
    </row>
    <row r="484" spans="1:14" ht="18" x14ac:dyDescent="0.3">
      <c r="A484" s="122"/>
      <c r="B484" s="9">
        <f t="shared" si="85"/>
        <v>3</v>
      </c>
      <c r="C484" s="9">
        <f t="shared" si="85"/>
        <v>3</v>
      </c>
      <c r="D484" s="9" t="str">
        <f t="shared" si="84"/>
        <v>Petite Gâterie 3</v>
      </c>
      <c r="E484" s="93">
        <f t="shared" si="84"/>
        <v>1.35</v>
      </c>
      <c r="F484" s="16">
        <f t="shared" si="84"/>
        <v>4</v>
      </c>
      <c r="G484" s="17">
        <f t="shared" si="86"/>
        <v>0.33750000000000002</v>
      </c>
      <c r="H484" s="18">
        <f t="shared" si="87"/>
        <v>2.65</v>
      </c>
      <c r="I484" s="11"/>
      <c r="J484" s="9"/>
      <c r="K484" s="9"/>
      <c r="L484" s="23"/>
      <c r="M484" s="54"/>
      <c r="N484"/>
    </row>
    <row r="485" spans="1:14" ht="18" x14ac:dyDescent="0.3">
      <c r="A485" s="122"/>
      <c r="B485" s="9">
        <f t="shared" si="85"/>
        <v>4</v>
      </c>
      <c r="C485" s="9">
        <f t="shared" si="85"/>
        <v>4</v>
      </c>
      <c r="D485" s="9" t="str">
        <f t="shared" si="84"/>
        <v>Petite Gâterie 4</v>
      </c>
      <c r="E485" s="93">
        <f t="shared" si="84"/>
        <v>1.4</v>
      </c>
      <c r="F485" s="16">
        <f t="shared" si="84"/>
        <v>4.5</v>
      </c>
      <c r="G485" s="17">
        <f t="shared" si="86"/>
        <v>0.31111111111111112</v>
      </c>
      <c r="H485" s="18">
        <f t="shared" si="87"/>
        <v>3.1</v>
      </c>
      <c r="I485" s="11"/>
      <c r="J485" s="9"/>
      <c r="K485" s="9"/>
      <c r="L485" s="23"/>
      <c r="M485" s="54"/>
      <c r="N485"/>
    </row>
    <row r="486" spans="1:14" ht="18" x14ac:dyDescent="0.3">
      <c r="A486" s="122"/>
      <c r="B486" s="9">
        <f t="shared" si="85"/>
        <v>5</v>
      </c>
      <c r="C486" s="9">
        <f t="shared" si="85"/>
        <v>5</v>
      </c>
      <c r="D486" s="9" t="str">
        <f t="shared" si="84"/>
        <v>Petite Gâterie 5</v>
      </c>
      <c r="E486" s="93">
        <f t="shared" si="84"/>
        <v>1.24</v>
      </c>
      <c r="F486" s="16">
        <f t="shared" si="84"/>
        <v>4.5999999999999996</v>
      </c>
      <c r="G486" s="17">
        <f t="shared" si="86"/>
        <v>0.26956521739130435</v>
      </c>
      <c r="H486" s="18">
        <f t="shared" si="87"/>
        <v>3.3599999999999994</v>
      </c>
      <c r="I486" s="11"/>
      <c r="J486" s="9"/>
      <c r="K486" s="9"/>
      <c r="L486" s="23"/>
      <c r="M486" s="54"/>
      <c r="N486"/>
    </row>
    <row r="487" spans="1:14" ht="18" x14ac:dyDescent="0.3">
      <c r="A487" s="122"/>
      <c r="B487" s="9">
        <f t="shared" si="85"/>
        <v>6</v>
      </c>
      <c r="C487" s="9">
        <f t="shared" si="85"/>
        <v>6</v>
      </c>
      <c r="D487" s="9" t="str">
        <f t="shared" si="84"/>
        <v>Petite Gâterie 6</v>
      </c>
      <c r="E487" s="93">
        <f t="shared" si="84"/>
        <v>1.39</v>
      </c>
      <c r="F487" s="16">
        <f t="shared" si="84"/>
        <v>4.7</v>
      </c>
      <c r="G487" s="17">
        <f t="shared" si="86"/>
        <v>0.29574468085106381</v>
      </c>
      <c r="H487" s="18">
        <f t="shared" si="87"/>
        <v>3.3100000000000005</v>
      </c>
      <c r="I487" s="11"/>
      <c r="J487" s="9"/>
      <c r="K487" s="9"/>
      <c r="L487" s="23"/>
      <c r="M487" s="54"/>
      <c r="N487"/>
    </row>
    <row r="488" spans="1:14" ht="18" x14ac:dyDescent="0.3">
      <c r="A488" s="122"/>
      <c r="B488" s="9">
        <f t="shared" si="85"/>
        <v>7</v>
      </c>
      <c r="C488" s="9">
        <f t="shared" si="85"/>
        <v>7</v>
      </c>
      <c r="D488" s="9" t="str">
        <f t="shared" si="84"/>
        <v>Petite Gâterie 7</v>
      </c>
      <c r="E488" s="93">
        <f t="shared" si="84"/>
        <v>1.51</v>
      </c>
      <c r="F488" s="16">
        <f t="shared" si="84"/>
        <v>4.8</v>
      </c>
      <c r="G488" s="17">
        <f t="shared" si="86"/>
        <v>0.31458333333333333</v>
      </c>
      <c r="H488" s="18">
        <f t="shared" si="87"/>
        <v>3.29</v>
      </c>
      <c r="I488" s="11"/>
      <c r="J488" s="9"/>
      <c r="K488" s="9"/>
      <c r="L488" s="23"/>
      <c r="M488" s="54"/>
      <c r="N488"/>
    </row>
    <row r="489" spans="1:14" ht="18" x14ac:dyDescent="0.3">
      <c r="A489" s="122"/>
      <c r="B489" s="9">
        <f t="shared" si="85"/>
        <v>8</v>
      </c>
      <c r="C489" s="9">
        <f t="shared" si="85"/>
        <v>8</v>
      </c>
      <c r="D489" s="9" t="str">
        <f t="shared" si="84"/>
        <v>Petite Gâterie 8</v>
      </c>
      <c r="E489" s="93">
        <f t="shared" si="84"/>
        <v>1.53</v>
      </c>
      <c r="F489" s="16">
        <f t="shared" si="84"/>
        <v>4.9000000000000004</v>
      </c>
      <c r="G489" s="17">
        <f t="shared" si="86"/>
        <v>0.31224489795918364</v>
      </c>
      <c r="H489" s="18">
        <f t="shared" si="87"/>
        <v>3.37</v>
      </c>
      <c r="I489" s="11"/>
      <c r="J489" s="9"/>
      <c r="K489" s="9"/>
      <c r="L489" s="23"/>
      <c r="M489" s="54"/>
      <c r="N489"/>
    </row>
    <row r="490" spans="1:14" ht="18" x14ac:dyDescent="0.3">
      <c r="A490" s="122"/>
      <c r="B490" s="9">
        <f t="shared" si="85"/>
        <v>9</v>
      </c>
      <c r="C490" s="9">
        <f t="shared" si="85"/>
        <v>9</v>
      </c>
      <c r="D490" s="9" t="str">
        <f t="shared" si="84"/>
        <v>Petite Gâterie 9</v>
      </c>
      <c r="E490" s="93">
        <f t="shared" si="84"/>
        <v>1.55</v>
      </c>
      <c r="F490" s="16">
        <f t="shared" si="84"/>
        <v>5</v>
      </c>
      <c r="G490" s="17">
        <f t="shared" si="86"/>
        <v>0.31</v>
      </c>
      <c r="H490" s="18">
        <f t="shared" si="87"/>
        <v>3.45</v>
      </c>
      <c r="I490" s="11"/>
      <c r="J490" s="9"/>
      <c r="K490" s="9"/>
      <c r="L490" s="23"/>
      <c r="M490" s="54"/>
      <c r="N490"/>
    </row>
    <row r="491" spans="1:14" ht="18" x14ac:dyDescent="0.3">
      <c r="A491" s="122"/>
      <c r="B491" s="9">
        <f t="shared" si="85"/>
        <v>10</v>
      </c>
      <c r="C491" s="9">
        <f t="shared" si="85"/>
        <v>10</v>
      </c>
      <c r="D491" s="9" t="str">
        <f t="shared" si="84"/>
        <v>Petite Gâterie 10</v>
      </c>
      <c r="E491" s="93">
        <f t="shared" si="84"/>
        <v>1.59</v>
      </c>
      <c r="F491" s="16">
        <f t="shared" si="84"/>
        <v>5.2</v>
      </c>
      <c r="G491" s="17">
        <f t="shared" si="86"/>
        <v>0.30576923076923079</v>
      </c>
      <c r="H491" s="18">
        <f t="shared" si="87"/>
        <v>3.6100000000000003</v>
      </c>
      <c r="I491" s="11"/>
      <c r="J491" s="9"/>
      <c r="K491" s="9"/>
      <c r="L491" s="23"/>
      <c r="M491" s="54"/>
      <c r="N491"/>
    </row>
    <row r="492" spans="1:14" ht="18" x14ac:dyDescent="0.3">
      <c r="A492" s="122"/>
      <c r="B492" s="9">
        <f t="shared" si="85"/>
        <v>11</v>
      </c>
      <c r="C492" s="9">
        <f t="shared" si="85"/>
        <v>11</v>
      </c>
      <c r="D492" s="9" t="str">
        <f t="shared" si="84"/>
        <v>Petite Gâterie 11</v>
      </c>
      <c r="E492" s="93">
        <f t="shared" si="84"/>
        <v>1.83</v>
      </c>
      <c r="F492" s="16">
        <f t="shared" si="84"/>
        <v>6.4</v>
      </c>
      <c r="G492" s="17">
        <f t="shared" si="86"/>
        <v>0.28593750000000001</v>
      </c>
      <c r="H492" s="18">
        <f t="shared" si="87"/>
        <v>4.57</v>
      </c>
      <c r="I492" s="11"/>
      <c r="J492" s="9"/>
      <c r="K492" s="9"/>
      <c r="L492" s="23"/>
      <c r="M492" s="54"/>
      <c r="N492"/>
    </row>
    <row r="493" spans="1:14" ht="18" x14ac:dyDescent="0.3">
      <c r="A493" s="122"/>
      <c r="B493" s="9">
        <f t="shared" si="85"/>
        <v>12</v>
      </c>
      <c r="C493" s="9">
        <f t="shared" si="85"/>
        <v>12</v>
      </c>
      <c r="D493" s="9" t="str">
        <f t="shared" si="84"/>
        <v>Petite Gâterie 12</v>
      </c>
      <c r="E493" s="93">
        <f>E450</f>
        <v>1.87</v>
      </c>
      <c r="F493" s="16">
        <f t="shared" si="84"/>
        <v>6.6</v>
      </c>
      <c r="G493" s="17">
        <f t="shared" si="86"/>
        <v>0.28333333333333338</v>
      </c>
      <c r="H493" s="18">
        <f t="shared" si="87"/>
        <v>4.7299999999999995</v>
      </c>
      <c r="I493" s="11"/>
      <c r="J493" s="9"/>
      <c r="K493" s="9"/>
      <c r="L493" s="23"/>
      <c r="M493" s="54"/>
      <c r="N493"/>
    </row>
    <row r="494" spans="1:14" ht="19" x14ac:dyDescent="0.35">
      <c r="A494" s="122"/>
      <c r="B494" s="9"/>
      <c r="C494" s="9"/>
      <c r="D494" s="10" t="str">
        <f t="shared" si="84"/>
        <v>CmO—PmO—Food Cost—BmO</v>
      </c>
      <c r="E494" s="29">
        <f>SUM(E482:E493)/C493</f>
        <v>1.4816666666666667</v>
      </c>
      <c r="F494" s="29">
        <f>SUM(F482:F493)/C493</f>
        <v>4.8166666666666673</v>
      </c>
      <c r="G494" s="31">
        <f t="shared" si="86"/>
        <v>0.30761245674740478</v>
      </c>
      <c r="H494" s="32">
        <f t="shared" si="87"/>
        <v>3.3350000000000009</v>
      </c>
      <c r="I494" s="33"/>
      <c r="J494" s="9"/>
      <c r="K494" s="9"/>
      <c r="L494" s="91">
        <v>1</v>
      </c>
      <c r="M494" s="54">
        <f>$M$21</f>
        <v>196</v>
      </c>
      <c r="N494"/>
    </row>
    <row r="495" spans="1:14" ht="18" x14ac:dyDescent="0.3">
      <c r="A495" s="122"/>
      <c r="B495" s="9" t="s">
        <v>7</v>
      </c>
      <c r="C495" s="9"/>
      <c r="D495" s="9"/>
      <c r="E495" s="15"/>
      <c r="F495" s="15"/>
      <c r="G495" s="17"/>
      <c r="H495" s="35"/>
      <c r="I495" s="9"/>
      <c r="J495" s="9"/>
      <c r="K495" s="9"/>
      <c r="L495" s="23"/>
      <c r="M495" s="54"/>
      <c r="N495"/>
    </row>
    <row r="496" spans="1:14" ht="18" x14ac:dyDescent="0.3">
      <c r="A496" s="122"/>
      <c r="B496" s="9"/>
      <c r="C496" s="9"/>
      <c r="D496" s="10" t="str">
        <f t="shared" ref="D496:F509" si="88">D453</f>
        <v>Les Boissons  Gâteries</v>
      </c>
      <c r="E496" s="15"/>
      <c r="F496" s="15"/>
      <c r="G496" s="17"/>
      <c r="H496" s="35"/>
      <c r="I496" s="9"/>
      <c r="J496" s="9"/>
      <c r="K496" s="9"/>
      <c r="L496" s="23"/>
      <c r="M496" s="54"/>
      <c r="N496"/>
    </row>
    <row r="497" spans="1:14" ht="18" x14ac:dyDescent="0.3">
      <c r="A497" s="122"/>
      <c r="B497" s="9">
        <f t="shared" ref="B497:C508" si="89">B454</f>
        <v>13</v>
      </c>
      <c r="C497" s="9">
        <f t="shared" si="89"/>
        <v>1</v>
      </c>
      <c r="D497" s="9" t="str">
        <f t="shared" si="88"/>
        <v>Boisson spécial numéro 1</v>
      </c>
      <c r="E497" s="93">
        <f t="shared" si="88"/>
        <v>2.2799999999999998</v>
      </c>
      <c r="F497" s="16">
        <f t="shared" si="88"/>
        <v>6.6</v>
      </c>
      <c r="G497" s="17">
        <f>E497/F497</f>
        <v>0.34545454545454546</v>
      </c>
      <c r="H497" s="18">
        <f>F497-E497</f>
        <v>4.32</v>
      </c>
      <c r="I497" s="11"/>
      <c r="J497" s="9"/>
      <c r="K497" s="9"/>
      <c r="L497" s="23"/>
      <c r="M497" s="54"/>
      <c r="N497"/>
    </row>
    <row r="498" spans="1:14" ht="18" x14ac:dyDescent="0.3">
      <c r="A498" s="122"/>
      <c r="B498" s="9">
        <f t="shared" si="89"/>
        <v>14</v>
      </c>
      <c r="C498" s="9">
        <f t="shared" si="89"/>
        <v>2</v>
      </c>
      <c r="D498" s="9" t="str">
        <f t="shared" si="88"/>
        <v>Boisson spécial numéro 2</v>
      </c>
      <c r="E498" s="93">
        <f t="shared" si="88"/>
        <v>2.66</v>
      </c>
      <c r="F498" s="16">
        <f t="shared" si="88"/>
        <v>7.6</v>
      </c>
      <c r="G498" s="17">
        <f>E498/F498</f>
        <v>0.35000000000000003</v>
      </c>
      <c r="H498" s="18">
        <f>F498-E498</f>
        <v>4.9399999999999995</v>
      </c>
      <c r="I498" s="11"/>
      <c r="J498" s="9"/>
      <c r="K498" s="9"/>
      <c r="L498" s="23"/>
      <c r="M498" s="54"/>
      <c r="N498"/>
    </row>
    <row r="499" spans="1:14" ht="18" x14ac:dyDescent="0.3">
      <c r="A499" s="122"/>
      <c r="B499" s="9">
        <f t="shared" si="89"/>
        <v>15</v>
      </c>
      <c r="C499" s="9">
        <f t="shared" si="89"/>
        <v>3</v>
      </c>
      <c r="D499" s="9" t="str">
        <f t="shared" si="88"/>
        <v>Boisson spécial numéro 3</v>
      </c>
      <c r="E499" s="93">
        <f t="shared" si="88"/>
        <v>2.74</v>
      </c>
      <c r="F499" s="16">
        <f t="shared" si="88"/>
        <v>8</v>
      </c>
      <c r="G499" s="17">
        <f>E499/F499</f>
        <v>0.34250000000000003</v>
      </c>
      <c r="H499" s="18">
        <f>F499-E499</f>
        <v>5.26</v>
      </c>
      <c r="I499" s="11"/>
      <c r="J499" s="9"/>
      <c r="K499" s="9"/>
      <c r="L499" s="23"/>
      <c r="M499" s="54"/>
      <c r="N499"/>
    </row>
    <row r="500" spans="1:14" ht="18" x14ac:dyDescent="0.3">
      <c r="A500" s="122"/>
      <c r="B500" s="9">
        <f t="shared" si="89"/>
        <v>16</v>
      </c>
      <c r="C500" s="9">
        <f t="shared" si="89"/>
        <v>4</v>
      </c>
      <c r="D500" s="9" t="str">
        <f t="shared" si="88"/>
        <v>Boisson spécial numéro 4</v>
      </c>
      <c r="E500" s="93">
        <f t="shared" si="88"/>
        <v>2.72</v>
      </c>
      <c r="F500" s="16">
        <f t="shared" si="88"/>
        <v>9</v>
      </c>
      <c r="G500" s="17">
        <f t="shared" ref="G500:G507" si="90">E500/F500</f>
        <v>0.30222222222222223</v>
      </c>
      <c r="H500" s="18">
        <f t="shared" ref="H500:H507" si="91">F500-E500</f>
        <v>6.2799999999999994</v>
      </c>
      <c r="I500" s="11"/>
      <c r="J500" s="9"/>
      <c r="K500" s="9"/>
      <c r="L500" s="23"/>
      <c r="M500" s="54"/>
      <c r="N500"/>
    </row>
    <row r="501" spans="1:14" ht="18" x14ac:dyDescent="0.3">
      <c r="A501" s="122"/>
      <c r="B501" s="9">
        <f t="shared" si="89"/>
        <v>17</v>
      </c>
      <c r="C501" s="9">
        <f t="shared" si="89"/>
        <v>5</v>
      </c>
      <c r="D501" s="9" t="str">
        <f t="shared" si="88"/>
        <v>Boisson spécial numéro 5</v>
      </c>
      <c r="E501" s="93">
        <f t="shared" si="88"/>
        <v>2.76</v>
      </c>
      <c r="F501" s="16">
        <f t="shared" si="88"/>
        <v>9.1999999999999993</v>
      </c>
      <c r="G501" s="17">
        <f t="shared" si="90"/>
        <v>0.3</v>
      </c>
      <c r="H501" s="18">
        <f t="shared" si="91"/>
        <v>6.4399999999999995</v>
      </c>
      <c r="I501" s="11"/>
      <c r="J501" s="9"/>
      <c r="K501" s="9"/>
      <c r="L501" s="23"/>
      <c r="M501" s="54"/>
      <c r="N501"/>
    </row>
    <row r="502" spans="1:14" ht="18" x14ac:dyDescent="0.3">
      <c r="A502" s="122"/>
      <c r="B502" s="9">
        <f t="shared" si="89"/>
        <v>18</v>
      </c>
      <c r="C502" s="9">
        <f t="shared" si="89"/>
        <v>6</v>
      </c>
      <c r="D502" s="9" t="str">
        <f t="shared" si="88"/>
        <v>Boisson spécial numéro 6</v>
      </c>
      <c r="E502" s="93">
        <f t="shared" si="88"/>
        <v>2.8</v>
      </c>
      <c r="F502" s="16">
        <f t="shared" si="88"/>
        <v>9.4</v>
      </c>
      <c r="G502" s="17">
        <f t="shared" si="90"/>
        <v>0.2978723404255319</v>
      </c>
      <c r="H502" s="18">
        <f t="shared" si="91"/>
        <v>6.6000000000000005</v>
      </c>
      <c r="I502" s="11"/>
      <c r="J502" s="9"/>
      <c r="K502" s="9"/>
      <c r="L502" s="23"/>
      <c r="M502" s="54"/>
      <c r="N502"/>
    </row>
    <row r="503" spans="1:14" ht="18" x14ac:dyDescent="0.3">
      <c r="A503" s="122"/>
      <c r="B503" s="9">
        <f t="shared" si="89"/>
        <v>19</v>
      </c>
      <c r="C503" s="9">
        <f t="shared" si="89"/>
        <v>7</v>
      </c>
      <c r="D503" s="9" t="str">
        <f t="shared" si="88"/>
        <v>Boisson spécial numéro 7</v>
      </c>
      <c r="E503" s="93">
        <f t="shared" si="88"/>
        <v>2.82</v>
      </c>
      <c r="F503" s="16">
        <f t="shared" si="88"/>
        <v>9.6</v>
      </c>
      <c r="G503" s="17">
        <f t="shared" si="90"/>
        <v>0.29375000000000001</v>
      </c>
      <c r="H503" s="18">
        <f t="shared" si="91"/>
        <v>6.7799999999999994</v>
      </c>
      <c r="I503" s="11"/>
      <c r="J503" s="9"/>
      <c r="K503" s="9"/>
      <c r="L503" s="23"/>
      <c r="M503" s="54"/>
      <c r="N503"/>
    </row>
    <row r="504" spans="1:14" ht="18" x14ac:dyDescent="0.3">
      <c r="A504" s="122"/>
      <c r="B504" s="9">
        <f t="shared" si="89"/>
        <v>20</v>
      </c>
      <c r="C504" s="9">
        <f t="shared" si="89"/>
        <v>8</v>
      </c>
      <c r="D504" s="9" t="str">
        <f t="shared" si="88"/>
        <v>Boisson spécial numéro 8</v>
      </c>
      <c r="E504" s="93">
        <f t="shared" si="88"/>
        <v>2.86</v>
      </c>
      <c r="F504" s="16">
        <f t="shared" si="88"/>
        <v>9.8000000000000007</v>
      </c>
      <c r="G504" s="17">
        <f t="shared" si="90"/>
        <v>0.2918367346938775</v>
      </c>
      <c r="H504" s="18">
        <f t="shared" si="91"/>
        <v>6.9400000000000013</v>
      </c>
      <c r="I504" s="11"/>
      <c r="J504" s="9"/>
      <c r="K504" s="9"/>
      <c r="L504" s="23"/>
      <c r="M504" s="54"/>
      <c r="N504"/>
    </row>
    <row r="505" spans="1:14" ht="18" x14ac:dyDescent="0.3">
      <c r="A505" s="122"/>
      <c r="B505" s="9">
        <f t="shared" si="89"/>
        <v>21</v>
      </c>
      <c r="C505" s="9">
        <f t="shared" si="89"/>
        <v>9</v>
      </c>
      <c r="D505" s="9" t="str">
        <f t="shared" si="88"/>
        <v>Boisson spécial numéro 9</v>
      </c>
      <c r="E505" s="93">
        <f t="shared" si="88"/>
        <v>2.9</v>
      </c>
      <c r="F505" s="16">
        <f t="shared" si="88"/>
        <v>10</v>
      </c>
      <c r="G505" s="17">
        <f t="shared" si="90"/>
        <v>0.28999999999999998</v>
      </c>
      <c r="H505" s="18">
        <f t="shared" si="91"/>
        <v>7.1</v>
      </c>
      <c r="I505" s="11"/>
      <c r="J505" s="9"/>
      <c r="K505" s="9"/>
      <c r="L505" s="23"/>
      <c r="M505" s="54"/>
      <c r="N505"/>
    </row>
    <row r="506" spans="1:14" ht="18" x14ac:dyDescent="0.3">
      <c r="A506" s="122"/>
      <c r="B506" s="9">
        <f t="shared" si="89"/>
        <v>22</v>
      </c>
      <c r="C506" s="9">
        <f t="shared" si="89"/>
        <v>10</v>
      </c>
      <c r="D506" s="9" t="str">
        <f t="shared" si="88"/>
        <v>Boisson spécial numéro 10</v>
      </c>
      <c r="E506" s="93">
        <f t="shared" si="88"/>
        <v>2.98</v>
      </c>
      <c r="F506" s="16">
        <f t="shared" si="88"/>
        <v>10.4</v>
      </c>
      <c r="G506" s="17">
        <f t="shared" si="90"/>
        <v>0.28653846153846152</v>
      </c>
      <c r="H506" s="18">
        <f t="shared" si="91"/>
        <v>7.42</v>
      </c>
      <c r="I506" s="11"/>
      <c r="J506" s="9"/>
      <c r="K506" s="9"/>
      <c r="L506" s="23"/>
      <c r="M506" s="54"/>
      <c r="N506"/>
    </row>
    <row r="507" spans="1:14" ht="18" x14ac:dyDescent="0.3">
      <c r="A507" s="122"/>
      <c r="B507" s="9">
        <f t="shared" si="89"/>
        <v>23</v>
      </c>
      <c r="C507" s="9">
        <f t="shared" si="89"/>
        <v>11</v>
      </c>
      <c r="D507" s="9" t="str">
        <f t="shared" si="88"/>
        <v>Boisson spécial numéro 11</v>
      </c>
      <c r="E507" s="93">
        <f t="shared" si="88"/>
        <v>3.18</v>
      </c>
      <c r="F507" s="16">
        <f t="shared" si="88"/>
        <v>11.6</v>
      </c>
      <c r="G507" s="17">
        <f t="shared" si="90"/>
        <v>0.27413793103448281</v>
      </c>
      <c r="H507" s="18">
        <f t="shared" si="91"/>
        <v>8.42</v>
      </c>
      <c r="I507" s="11"/>
      <c r="J507" s="9"/>
      <c r="K507" s="9"/>
      <c r="L507" s="23"/>
      <c r="M507" s="54"/>
      <c r="N507"/>
    </row>
    <row r="508" spans="1:14" ht="18" x14ac:dyDescent="0.3">
      <c r="A508" s="122"/>
      <c r="B508" s="9">
        <f t="shared" si="89"/>
        <v>24</v>
      </c>
      <c r="C508" s="9">
        <f t="shared" si="89"/>
        <v>12</v>
      </c>
      <c r="D508" s="9" t="str">
        <f t="shared" si="88"/>
        <v>Boisson spécial numéro 12</v>
      </c>
      <c r="E508" s="93">
        <f t="shared" si="88"/>
        <v>3.48</v>
      </c>
      <c r="F508" s="16">
        <f t="shared" si="88"/>
        <v>13.2</v>
      </c>
      <c r="G508" s="17">
        <f>E508/F508</f>
        <v>0.26363636363636367</v>
      </c>
      <c r="H508" s="18">
        <f>F508-E508</f>
        <v>9.7199999999999989</v>
      </c>
      <c r="I508" s="11"/>
      <c r="J508" s="9"/>
      <c r="K508" s="9"/>
      <c r="L508" s="23"/>
      <c r="M508" s="54"/>
      <c r="N508"/>
    </row>
    <row r="509" spans="1:14" ht="19" x14ac:dyDescent="0.35">
      <c r="A509" s="122"/>
      <c r="B509" s="9"/>
      <c r="C509" s="9"/>
      <c r="D509" s="10" t="str">
        <f t="shared" si="88"/>
        <v>CmO—PmO—Beverage Cost—Marge brute</v>
      </c>
      <c r="E509" s="29">
        <f>SUM(E497:E508)/C508</f>
        <v>2.8483333333333332</v>
      </c>
      <c r="F509" s="29">
        <f>SUM(F497:F508)/C508</f>
        <v>9.5333333333333332</v>
      </c>
      <c r="G509" s="36">
        <f>E509/F509</f>
        <v>0.29877622377622376</v>
      </c>
      <c r="H509" s="32">
        <f>F509-E509</f>
        <v>6.6850000000000005</v>
      </c>
      <c r="I509" s="33"/>
      <c r="J509" s="9"/>
      <c r="K509" s="9"/>
      <c r="L509" s="91">
        <v>1</v>
      </c>
      <c r="M509" s="54">
        <f>$M$21</f>
        <v>196</v>
      </c>
      <c r="N509"/>
    </row>
    <row r="510" spans="1:14" ht="19" thickBot="1" x14ac:dyDescent="0.35">
      <c r="A510" s="122"/>
      <c r="B510" s="9"/>
      <c r="C510" s="9"/>
      <c r="D510" s="9"/>
      <c r="E510" s="15"/>
      <c r="F510" s="15"/>
      <c r="G510" s="12"/>
      <c r="H510" s="35"/>
      <c r="I510" s="9"/>
      <c r="J510" s="9"/>
      <c r="K510" s="9"/>
      <c r="L510" s="23"/>
      <c r="M510" s="54"/>
      <c r="N510"/>
    </row>
    <row r="511" spans="1:14" ht="21" thickTop="1" thickBot="1" x14ac:dyDescent="0.4">
      <c r="A511" s="122"/>
      <c r="B511" s="9"/>
      <c r="C511" s="37"/>
      <c r="D511" s="38"/>
      <c r="E511" s="39"/>
      <c r="F511" s="39"/>
      <c r="G511" s="40"/>
      <c r="H511" s="41"/>
      <c r="I511" s="42"/>
      <c r="J511" s="9"/>
      <c r="K511" s="9"/>
      <c r="L511" s="23"/>
      <c r="M511" s="54"/>
      <c r="N511"/>
    </row>
    <row r="512" spans="1:14" ht="20" thickTop="1" thickBot="1" x14ac:dyDescent="0.35">
      <c r="A512" s="122"/>
      <c r="B512" s="9"/>
      <c r="C512" s="44"/>
      <c r="D512" s="10"/>
      <c r="E512" s="45" t="str">
        <f>E469</f>
        <v>CmO</v>
      </c>
      <c r="F512" s="45" t="str">
        <f>F469</f>
        <v>PmO</v>
      </c>
      <c r="G512" s="46" t="str">
        <f>G469</f>
        <v>F&amp;BCmO</v>
      </c>
      <c r="H512" s="47" t="str">
        <f>H469</f>
        <v>BmO</v>
      </c>
      <c r="I512" s="48"/>
      <c r="J512" s="9"/>
      <c r="K512" s="9"/>
      <c r="L512" s="23"/>
      <c r="M512" s="54"/>
      <c r="N512"/>
    </row>
    <row r="513" spans="1:14" ht="19" thickTop="1" x14ac:dyDescent="0.3">
      <c r="A513" s="122"/>
      <c r="B513" s="9"/>
      <c r="C513" s="44"/>
      <c r="D513" s="49" t="str">
        <f>D470</f>
        <v>OFFRE TOTALE AVEC LES GÂTERIES ET LES CAFÉS GÂTERIES</v>
      </c>
      <c r="E513" s="15"/>
      <c r="F513" s="15"/>
      <c r="G513" s="12"/>
      <c r="H513" s="35"/>
      <c r="I513" s="50"/>
      <c r="J513" s="9"/>
      <c r="K513" s="9"/>
      <c r="L513" s="23"/>
      <c r="M513" s="54"/>
      <c r="N513"/>
    </row>
    <row r="514" spans="1:14" ht="19" x14ac:dyDescent="0.35">
      <c r="A514" s="122"/>
      <c r="B514" s="9"/>
      <c r="C514" s="44"/>
      <c r="D514" s="10" t="str">
        <f>D471</f>
        <v>CmO—PmO—F&amp;B cost moyen offert—Marge brute</v>
      </c>
      <c r="E514" s="30">
        <f>+(E482+E483+E484+E485+E486+E487+E488+E489+E490+E491+E492+E493+E497+E498+E499+E500+E501+E502+E503+E504+E505+E506+E507+E508)/B508</f>
        <v>2.1649999999999996</v>
      </c>
      <c r="F514" s="30">
        <f>+(F482+F483+F484+F485+F486+F487+F488+F489+F490+F491+F492+F493+F497+F498+F499+F500+F501+F502+F503+F504+F505+F506+F507+F508)/B508</f>
        <v>7.1749999999999998</v>
      </c>
      <c r="G514" s="51">
        <f>E514/F514</f>
        <v>0.30174216027874562</v>
      </c>
      <c r="H514" s="52">
        <f>F514-E514</f>
        <v>5.01</v>
      </c>
      <c r="I514" s="53"/>
      <c r="J514" s="9"/>
      <c r="K514" s="9"/>
      <c r="L514" s="23">
        <f>L471</f>
        <v>2</v>
      </c>
      <c r="M514" s="54">
        <f>$M$21</f>
        <v>196</v>
      </c>
      <c r="N514"/>
    </row>
    <row r="515" spans="1:14" ht="18" x14ac:dyDescent="0.3">
      <c r="A515" s="122"/>
      <c r="B515" s="9"/>
      <c r="C515" s="44"/>
      <c r="D515" s="9"/>
      <c r="E515" s="55"/>
      <c r="F515" s="55"/>
      <c r="G515" s="56"/>
      <c r="H515" s="57"/>
      <c r="I515" s="58"/>
      <c r="J515" s="9"/>
      <c r="K515" s="9"/>
      <c r="L515" s="23"/>
      <c r="M515" s="54"/>
      <c r="N515"/>
    </row>
    <row r="516" spans="1:14" ht="19" thickBot="1" x14ac:dyDescent="0.35">
      <c r="A516" s="123"/>
      <c r="B516" s="9"/>
      <c r="C516" s="59"/>
      <c r="D516" s="60"/>
      <c r="E516" s="61"/>
      <c r="F516" s="61"/>
      <c r="G516" s="62"/>
      <c r="H516" s="63"/>
      <c r="I516" s="64"/>
      <c r="J516" s="9"/>
      <c r="K516" s="9"/>
      <c r="L516" s="65"/>
      <c r="M516" s="98"/>
      <c r="N516"/>
    </row>
    <row r="517" spans="1:14" ht="19" thickTop="1" x14ac:dyDescent="0.3">
      <c r="A517" s="80"/>
      <c r="B517" s="9"/>
      <c r="C517" s="81"/>
      <c r="D517" s="82"/>
      <c r="E517" s="83"/>
      <c r="F517" s="83"/>
      <c r="G517" s="84"/>
      <c r="H517" s="85"/>
      <c r="I517" s="85"/>
      <c r="J517" s="9"/>
      <c r="K517" s="9"/>
      <c r="L517" s="86"/>
      <c r="M517" s="87"/>
      <c r="N517"/>
    </row>
    <row r="518" spans="1:14" ht="23" x14ac:dyDescent="0.3">
      <c r="A518" s="80"/>
      <c r="D518" s="2" t="s">
        <v>61</v>
      </c>
      <c r="F518" s="3"/>
      <c r="L518" s="69"/>
      <c r="M518" s="70"/>
      <c r="N518"/>
    </row>
    <row r="519" spans="1:14" ht="24" thickBot="1" x14ac:dyDescent="0.35">
      <c r="A519" s="80"/>
      <c r="D519" s="4"/>
      <c r="L519" s="69"/>
      <c r="M519" s="70"/>
      <c r="N519"/>
    </row>
    <row r="520" spans="1:14" ht="23" thickTop="1" x14ac:dyDescent="0.25">
      <c r="A520" s="80"/>
      <c r="D520" s="4"/>
      <c r="E520" s="108" t="str">
        <f>E477</f>
        <v>Coûts des ressources alimentaires pour chaque produit offert (voir recettes standardisées)</v>
      </c>
      <c r="F520" s="108" t="str">
        <f>F477</f>
        <v>Prix de vente par produit offert</v>
      </c>
      <c r="G520" s="108" t="str">
        <f>G477</f>
        <v xml:space="preserve">« Food &amp; Beverage Cost » </v>
      </c>
      <c r="H520" s="108" t="str">
        <f>H477</f>
        <v>Marge brute gagnée sur la vente de chaque produit offert</v>
      </c>
      <c r="I520" s="5"/>
      <c r="L520" s="113" t="s">
        <v>5</v>
      </c>
      <c r="M520" s="113" t="s">
        <v>6</v>
      </c>
      <c r="N520"/>
    </row>
    <row r="521" spans="1:14" ht="22" x14ac:dyDescent="0.25">
      <c r="A521" s="80"/>
      <c r="D521" s="4"/>
      <c r="E521" s="109"/>
      <c r="F521" s="111"/>
      <c r="G521" s="111"/>
      <c r="H521" s="111"/>
      <c r="I521" s="6"/>
      <c r="L521" s="114"/>
      <c r="M521" s="116"/>
      <c r="N521"/>
    </row>
    <row r="522" spans="1:14" ht="17" thickBot="1" x14ac:dyDescent="0.25">
      <c r="A522" s="80"/>
      <c r="E522" s="110"/>
      <c r="F522" s="112"/>
      <c r="G522" s="112"/>
      <c r="H522" s="112"/>
      <c r="I522" s="6"/>
      <c r="L522" s="115"/>
      <c r="M522" s="117"/>
      <c r="N522"/>
    </row>
    <row r="523" spans="1:14" ht="20" thickTop="1" thickBot="1" x14ac:dyDescent="0.35">
      <c r="A523" s="80"/>
      <c r="B523" s="1" t="s">
        <v>7</v>
      </c>
      <c r="E523" s="3"/>
      <c r="F523" s="3"/>
      <c r="G523" s="7"/>
      <c r="L523" s="69"/>
      <c r="M523" s="70"/>
      <c r="N523"/>
    </row>
    <row r="524" spans="1:14" ht="19" thickTop="1" x14ac:dyDescent="0.3">
      <c r="A524" s="80"/>
      <c r="B524" s="9"/>
      <c r="C524" s="9"/>
      <c r="D524" s="10" t="str">
        <f t="shared" ref="D524:D536" si="92">D482</f>
        <v>Petite Gâterie 1</v>
      </c>
      <c r="E524" s="11"/>
      <c r="F524" s="11"/>
      <c r="G524" s="12"/>
      <c r="H524" s="9"/>
      <c r="I524" s="9"/>
      <c r="J524" s="9"/>
      <c r="K524" s="9"/>
      <c r="L524" s="13"/>
      <c r="M524" s="97"/>
      <c r="N524"/>
    </row>
    <row r="525" spans="1:14" ht="18" x14ac:dyDescent="0.3">
      <c r="A525" s="80"/>
      <c r="B525" s="9">
        <f>B482</f>
        <v>1</v>
      </c>
      <c r="C525" s="9">
        <f>C482</f>
        <v>1</v>
      </c>
      <c r="D525" s="9" t="str">
        <f t="shared" si="92"/>
        <v>Petite Gâterie 2</v>
      </c>
      <c r="E525" s="93">
        <f>E482</f>
        <v>1.21</v>
      </c>
      <c r="F525" s="16">
        <f>F482</f>
        <v>3.3</v>
      </c>
      <c r="G525" s="17">
        <f t="shared" ref="G525:G537" si="93">E525/F525</f>
        <v>0.3666666666666667</v>
      </c>
      <c r="H525" s="18">
        <f t="shared" ref="H525:H537" si="94">F525-E525</f>
        <v>2.09</v>
      </c>
      <c r="I525" s="11"/>
      <c r="J525" s="9"/>
      <c r="K525" s="9"/>
      <c r="L525" s="20"/>
      <c r="M525" s="54"/>
      <c r="N525"/>
    </row>
    <row r="526" spans="1:14" ht="18" x14ac:dyDescent="0.3">
      <c r="A526" s="80"/>
      <c r="B526" s="9">
        <f t="shared" ref="B526:C536" si="95">B483</f>
        <v>2</v>
      </c>
      <c r="C526" s="9">
        <f t="shared" si="95"/>
        <v>2</v>
      </c>
      <c r="D526" s="9" t="str">
        <f t="shared" si="92"/>
        <v>Petite Gâterie 3</v>
      </c>
      <c r="E526" s="93">
        <f t="shared" ref="E526:F536" si="96">E483</f>
        <v>1.31</v>
      </c>
      <c r="F526" s="16">
        <f t="shared" si="96"/>
        <v>3.8</v>
      </c>
      <c r="G526" s="17">
        <f t="shared" si="93"/>
        <v>0.34473684210526317</v>
      </c>
      <c r="H526" s="18">
        <f t="shared" si="94"/>
        <v>2.4899999999999998</v>
      </c>
      <c r="I526" s="11"/>
      <c r="J526" s="9"/>
      <c r="K526" s="9"/>
      <c r="L526" s="23"/>
      <c r="M526" s="54"/>
      <c r="N526"/>
    </row>
    <row r="527" spans="1:14" ht="18" x14ac:dyDescent="0.3">
      <c r="A527" s="80"/>
      <c r="B527" s="9">
        <f t="shared" si="95"/>
        <v>3</v>
      </c>
      <c r="C527" s="9">
        <f t="shared" si="95"/>
        <v>3</v>
      </c>
      <c r="D527" s="9" t="str">
        <f t="shared" si="92"/>
        <v>Petite Gâterie 4</v>
      </c>
      <c r="E527" s="93">
        <f t="shared" si="96"/>
        <v>1.35</v>
      </c>
      <c r="F527" s="16">
        <f t="shared" si="96"/>
        <v>4</v>
      </c>
      <c r="G527" s="17">
        <f t="shared" si="93"/>
        <v>0.33750000000000002</v>
      </c>
      <c r="H527" s="18">
        <f t="shared" si="94"/>
        <v>2.65</v>
      </c>
      <c r="I527" s="11"/>
      <c r="J527" s="9"/>
      <c r="K527" s="9"/>
      <c r="L527" s="23"/>
      <c r="M527" s="54"/>
      <c r="N527"/>
    </row>
    <row r="528" spans="1:14" ht="18" x14ac:dyDescent="0.3">
      <c r="A528" s="80"/>
      <c r="B528" s="9">
        <f t="shared" si="95"/>
        <v>4</v>
      </c>
      <c r="C528" s="9">
        <f t="shared" si="95"/>
        <v>4</v>
      </c>
      <c r="D528" s="9" t="str">
        <f t="shared" si="92"/>
        <v>Petite Gâterie 5</v>
      </c>
      <c r="E528" s="93">
        <f t="shared" si="96"/>
        <v>1.4</v>
      </c>
      <c r="F528" s="16">
        <f t="shared" si="96"/>
        <v>4.5</v>
      </c>
      <c r="G528" s="17">
        <f t="shared" si="93"/>
        <v>0.31111111111111112</v>
      </c>
      <c r="H528" s="18">
        <f t="shared" si="94"/>
        <v>3.1</v>
      </c>
      <c r="I528" s="11"/>
      <c r="J528" s="9"/>
      <c r="K528" s="9"/>
      <c r="L528" s="23"/>
      <c r="M528" s="54"/>
      <c r="N528"/>
    </row>
    <row r="529" spans="1:14" ht="18" x14ac:dyDescent="0.3">
      <c r="A529" s="80"/>
      <c r="B529" s="9">
        <f t="shared" si="95"/>
        <v>5</v>
      </c>
      <c r="C529" s="9">
        <f t="shared" si="95"/>
        <v>5</v>
      </c>
      <c r="D529" s="9" t="str">
        <f t="shared" si="92"/>
        <v>Petite Gâterie 6</v>
      </c>
      <c r="E529" s="93">
        <f t="shared" si="96"/>
        <v>1.24</v>
      </c>
      <c r="F529" s="16">
        <f t="shared" si="96"/>
        <v>4.5999999999999996</v>
      </c>
      <c r="G529" s="17">
        <f t="shared" si="93"/>
        <v>0.26956521739130435</v>
      </c>
      <c r="H529" s="18">
        <f t="shared" si="94"/>
        <v>3.3599999999999994</v>
      </c>
      <c r="I529" s="11"/>
      <c r="J529" s="9"/>
      <c r="K529" s="9"/>
      <c r="L529" s="23"/>
      <c r="M529" s="54"/>
      <c r="N529"/>
    </row>
    <row r="530" spans="1:14" ht="18" x14ac:dyDescent="0.3">
      <c r="A530" s="80"/>
      <c r="B530" s="9">
        <f t="shared" si="95"/>
        <v>6</v>
      </c>
      <c r="C530" s="9">
        <f t="shared" si="95"/>
        <v>6</v>
      </c>
      <c r="D530" s="9" t="str">
        <f t="shared" si="92"/>
        <v>Petite Gâterie 7</v>
      </c>
      <c r="E530" s="93">
        <f t="shared" si="96"/>
        <v>1.39</v>
      </c>
      <c r="F530" s="16">
        <f t="shared" si="96"/>
        <v>4.7</v>
      </c>
      <c r="G530" s="17">
        <f t="shared" si="93"/>
        <v>0.29574468085106381</v>
      </c>
      <c r="H530" s="18">
        <f t="shared" si="94"/>
        <v>3.3100000000000005</v>
      </c>
      <c r="I530" s="11"/>
      <c r="J530" s="9"/>
      <c r="K530" s="9"/>
      <c r="L530" s="23"/>
      <c r="M530" s="54"/>
      <c r="N530"/>
    </row>
    <row r="531" spans="1:14" ht="18" x14ac:dyDescent="0.3">
      <c r="A531" s="80"/>
      <c r="B531" s="9">
        <f t="shared" si="95"/>
        <v>7</v>
      </c>
      <c r="C531" s="9">
        <f t="shared" si="95"/>
        <v>7</v>
      </c>
      <c r="D531" s="9" t="str">
        <f t="shared" si="92"/>
        <v>Petite Gâterie 8</v>
      </c>
      <c r="E531" s="93">
        <f t="shared" si="96"/>
        <v>1.51</v>
      </c>
      <c r="F531" s="16">
        <f t="shared" si="96"/>
        <v>4.8</v>
      </c>
      <c r="G531" s="17">
        <f t="shared" si="93"/>
        <v>0.31458333333333333</v>
      </c>
      <c r="H531" s="18">
        <f t="shared" si="94"/>
        <v>3.29</v>
      </c>
      <c r="I531" s="11"/>
      <c r="J531" s="9"/>
      <c r="K531" s="9"/>
      <c r="L531" s="23"/>
      <c r="M531" s="54"/>
      <c r="N531"/>
    </row>
    <row r="532" spans="1:14" ht="18" x14ac:dyDescent="0.3">
      <c r="A532" s="80"/>
      <c r="B532" s="9">
        <f t="shared" si="95"/>
        <v>8</v>
      </c>
      <c r="C532" s="9">
        <f t="shared" si="95"/>
        <v>8</v>
      </c>
      <c r="D532" s="9" t="str">
        <f t="shared" si="92"/>
        <v>Petite Gâterie 9</v>
      </c>
      <c r="E532" s="93">
        <f t="shared" si="96"/>
        <v>1.53</v>
      </c>
      <c r="F532" s="16">
        <f t="shared" si="96"/>
        <v>4.9000000000000004</v>
      </c>
      <c r="G532" s="17">
        <f t="shared" si="93"/>
        <v>0.31224489795918364</v>
      </c>
      <c r="H532" s="18">
        <f t="shared" si="94"/>
        <v>3.37</v>
      </c>
      <c r="I532" s="11"/>
      <c r="J532" s="9"/>
      <c r="K532" s="9"/>
      <c r="L532" s="23"/>
      <c r="M532" s="54"/>
      <c r="N532"/>
    </row>
    <row r="533" spans="1:14" ht="18" x14ac:dyDescent="0.3">
      <c r="A533" s="80"/>
      <c r="B533" s="9">
        <f t="shared" si="95"/>
        <v>9</v>
      </c>
      <c r="C533" s="9">
        <f t="shared" si="95"/>
        <v>9</v>
      </c>
      <c r="D533" s="9" t="str">
        <f t="shared" si="92"/>
        <v>Petite Gâterie 10</v>
      </c>
      <c r="E533" s="93">
        <f t="shared" si="96"/>
        <v>1.55</v>
      </c>
      <c r="F533" s="16">
        <f t="shared" si="96"/>
        <v>5</v>
      </c>
      <c r="G533" s="17">
        <f t="shared" si="93"/>
        <v>0.31</v>
      </c>
      <c r="H533" s="18">
        <f t="shared" si="94"/>
        <v>3.45</v>
      </c>
      <c r="I533" s="11"/>
      <c r="J533" s="9"/>
      <c r="K533" s="9"/>
      <c r="L533" s="23"/>
      <c r="M533" s="54"/>
      <c r="N533"/>
    </row>
    <row r="534" spans="1:14" ht="18" x14ac:dyDescent="0.3">
      <c r="A534" s="80"/>
      <c r="B534" s="9">
        <f t="shared" si="95"/>
        <v>10</v>
      </c>
      <c r="C534" s="9">
        <f t="shared" si="95"/>
        <v>10</v>
      </c>
      <c r="D534" s="9" t="str">
        <f t="shared" si="92"/>
        <v>Petite Gâterie 11</v>
      </c>
      <c r="E534" s="93">
        <f t="shared" si="96"/>
        <v>1.59</v>
      </c>
      <c r="F534" s="16">
        <f t="shared" si="96"/>
        <v>5.2</v>
      </c>
      <c r="G534" s="17">
        <f t="shared" si="93"/>
        <v>0.30576923076923079</v>
      </c>
      <c r="H534" s="18">
        <f t="shared" si="94"/>
        <v>3.6100000000000003</v>
      </c>
      <c r="I534" s="11"/>
      <c r="J534" s="9"/>
      <c r="K534" s="9"/>
      <c r="L534" s="23"/>
      <c r="M534" s="54"/>
      <c r="N534"/>
    </row>
    <row r="535" spans="1:14" ht="18" x14ac:dyDescent="0.3">
      <c r="A535" s="80"/>
      <c r="B535" s="9">
        <f t="shared" si="95"/>
        <v>11</v>
      </c>
      <c r="C535" s="9">
        <f t="shared" si="95"/>
        <v>11</v>
      </c>
      <c r="D535" s="9" t="str">
        <f t="shared" si="92"/>
        <v>Petite Gâterie 12</v>
      </c>
      <c r="E535" s="93">
        <f t="shared" si="96"/>
        <v>1.83</v>
      </c>
      <c r="F535" s="16">
        <f t="shared" si="96"/>
        <v>6.4</v>
      </c>
      <c r="G535" s="17">
        <f t="shared" si="93"/>
        <v>0.28593750000000001</v>
      </c>
      <c r="H535" s="18">
        <f t="shared" si="94"/>
        <v>4.57</v>
      </c>
      <c r="I535" s="11"/>
      <c r="J535" s="9"/>
      <c r="K535" s="9"/>
      <c r="L535" s="23"/>
      <c r="M535" s="54"/>
      <c r="N535"/>
    </row>
    <row r="536" spans="1:14" ht="18" x14ac:dyDescent="0.3">
      <c r="A536" s="80"/>
      <c r="B536" s="9">
        <f t="shared" si="95"/>
        <v>12</v>
      </c>
      <c r="C536" s="9">
        <f t="shared" si="95"/>
        <v>12</v>
      </c>
      <c r="D536" s="9" t="str">
        <f t="shared" si="92"/>
        <v>CmO—PmO—Food Cost—BmO</v>
      </c>
      <c r="E536" s="93">
        <f t="shared" si="96"/>
        <v>1.87</v>
      </c>
      <c r="F536" s="16">
        <f t="shared" si="96"/>
        <v>6.6</v>
      </c>
      <c r="G536" s="17">
        <f t="shared" si="93"/>
        <v>0.28333333333333338</v>
      </c>
      <c r="H536" s="18">
        <f t="shared" si="94"/>
        <v>4.7299999999999995</v>
      </c>
      <c r="I536" s="11"/>
      <c r="J536" s="9"/>
      <c r="K536" s="9"/>
      <c r="L536" s="23"/>
      <c r="M536" s="54"/>
      <c r="N536"/>
    </row>
    <row r="537" spans="1:14" ht="19" x14ac:dyDescent="0.35">
      <c r="A537" s="80"/>
      <c r="B537" s="9"/>
      <c r="C537" s="9"/>
      <c r="D537" s="10" t="str">
        <f>D494</f>
        <v>CmO—PmO—Food Cost—BmO</v>
      </c>
      <c r="E537" s="29">
        <f>SUM(E525:E536)/C536</f>
        <v>1.4816666666666667</v>
      </c>
      <c r="F537" s="29">
        <f>SUM(F525:F536)/C536</f>
        <v>4.8166666666666673</v>
      </c>
      <c r="G537" s="31">
        <f t="shared" si="93"/>
        <v>0.30761245674740478</v>
      </c>
      <c r="H537" s="32">
        <f t="shared" si="94"/>
        <v>3.3350000000000009</v>
      </c>
      <c r="I537" s="33"/>
      <c r="J537" s="9"/>
      <c r="K537" s="9"/>
      <c r="L537" s="91">
        <v>1</v>
      </c>
      <c r="M537" s="54">
        <f>$M$21</f>
        <v>196</v>
      </c>
      <c r="N537"/>
    </row>
    <row r="538" spans="1:14" ht="18" x14ac:dyDescent="0.3">
      <c r="A538" s="80"/>
      <c r="B538" s="9" t="s">
        <v>7</v>
      </c>
      <c r="C538" s="9"/>
      <c r="D538" s="9"/>
      <c r="E538" s="15"/>
      <c r="F538" s="15"/>
      <c r="G538" s="17"/>
      <c r="H538" s="35"/>
      <c r="I538" s="9"/>
      <c r="J538" s="9"/>
      <c r="K538" s="9"/>
      <c r="L538" s="23"/>
      <c r="M538" s="54"/>
      <c r="N538"/>
    </row>
    <row r="539" spans="1:14" ht="18" x14ac:dyDescent="0.3">
      <c r="A539" s="80"/>
      <c r="B539" s="9"/>
      <c r="C539" s="9"/>
      <c r="D539" s="10" t="str">
        <f t="shared" ref="D539:D551" si="97">D497</f>
        <v>Boisson spécial numéro 1</v>
      </c>
      <c r="E539" s="15"/>
      <c r="F539" s="15"/>
      <c r="G539" s="17"/>
      <c r="H539" s="35"/>
      <c r="I539" s="9"/>
      <c r="J539" s="9"/>
      <c r="K539" s="9"/>
      <c r="L539" s="23"/>
      <c r="M539" s="54"/>
      <c r="N539"/>
    </row>
    <row r="540" spans="1:14" ht="18" x14ac:dyDescent="0.3">
      <c r="A540" s="80"/>
      <c r="B540" s="9">
        <f>B497</f>
        <v>13</v>
      </c>
      <c r="C540" s="9">
        <f>C497</f>
        <v>1</v>
      </c>
      <c r="D540" s="9" t="str">
        <f t="shared" si="97"/>
        <v>Boisson spécial numéro 2</v>
      </c>
      <c r="E540" s="93">
        <f>E497</f>
        <v>2.2799999999999998</v>
      </c>
      <c r="F540" s="16">
        <f>F497</f>
        <v>6.6</v>
      </c>
      <c r="G540" s="17">
        <f>E540/F540</f>
        <v>0.34545454545454546</v>
      </c>
      <c r="H540" s="18">
        <f>F540-E540</f>
        <v>4.32</v>
      </c>
      <c r="I540" s="11"/>
      <c r="J540" s="9"/>
      <c r="K540" s="9"/>
      <c r="L540" s="23"/>
      <c r="M540" s="54"/>
      <c r="N540"/>
    </row>
    <row r="541" spans="1:14" ht="18" x14ac:dyDescent="0.3">
      <c r="A541" s="80"/>
      <c r="B541" s="9">
        <f t="shared" ref="B541:C551" si="98">B498</f>
        <v>14</v>
      </c>
      <c r="C541" s="9">
        <f t="shared" si="98"/>
        <v>2</v>
      </c>
      <c r="D541" s="9" t="str">
        <f t="shared" si="97"/>
        <v>Boisson spécial numéro 3</v>
      </c>
      <c r="E541" s="93">
        <f t="shared" ref="E541:F551" si="99">E498</f>
        <v>2.66</v>
      </c>
      <c r="F541" s="16">
        <f t="shared" si="99"/>
        <v>7.6</v>
      </c>
      <c r="G541" s="17">
        <f>E541/F541</f>
        <v>0.35000000000000003</v>
      </c>
      <c r="H541" s="18">
        <f>F541-E541</f>
        <v>4.9399999999999995</v>
      </c>
      <c r="I541" s="11"/>
      <c r="J541" s="9"/>
      <c r="K541" s="9"/>
      <c r="L541" s="23"/>
      <c r="M541" s="54"/>
      <c r="N541"/>
    </row>
    <row r="542" spans="1:14" ht="18" x14ac:dyDescent="0.3">
      <c r="A542" s="80"/>
      <c r="B542" s="9">
        <f t="shared" si="98"/>
        <v>15</v>
      </c>
      <c r="C542" s="9">
        <f t="shared" si="98"/>
        <v>3</v>
      </c>
      <c r="D542" s="9" t="str">
        <f t="shared" si="97"/>
        <v>Boisson spécial numéro 4</v>
      </c>
      <c r="E542" s="93">
        <f t="shared" si="99"/>
        <v>2.74</v>
      </c>
      <c r="F542" s="16">
        <f t="shared" si="99"/>
        <v>8</v>
      </c>
      <c r="G542" s="17">
        <f>E542/F542</f>
        <v>0.34250000000000003</v>
      </c>
      <c r="H542" s="18">
        <f>F542-E542</f>
        <v>5.26</v>
      </c>
      <c r="I542" s="11"/>
      <c r="J542" s="9"/>
      <c r="K542" s="9"/>
      <c r="L542" s="23"/>
      <c r="M542" s="54"/>
      <c r="N542"/>
    </row>
    <row r="543" spans="1:14" ht="18" x14ac:dyDescent="0.3">
      <c r="A543" s="80"/>
      <c r="B543" s="9">
        <f t="shared" si="98"/>
        <v>16</v>
      </c>
      <c r="C543" s="9">
        <f t="shared" si="98"/>
        <v>4</v>
      </c>
      <c r="D543" s="9" t="str">
        <f t="shared" si="97"/>
        <v>Boisson spécial numéro 5</v>
      </c>
      <c r="E543" s="93">
        <f t="shared" si="99"/>
        <v>2.72</v>
      </c>
      <c r="F543" s="16">
        <f t="shared" si="99"/>
        <v>9</v>
      </c>
      <c r="G543" s="17">
        <f t="shared" ref="G543:G550" si="100">E543/F543</f>
        <v>0.30222222222222223</v>
      </c>
      <c r="H543" s="18">
        <f t="shared" ref="H543:H550" si="101">F543-E543</f>
        <v>6.2799999999999994</v>
      </c>
      <c r="I543" s="11"/>
      <c r="J543" s="9"/>
      <c r="K543" s="9"/>
      <c r="L543" s="23"/>
      <c r="M543" s="54"/>
      <c r="N543"/>
    </row>
    <row r="544" spans="1:14" ht="18" x14ac:dyDescent="0.3">
      <c r="A544" s="80"/>
      <c r="B544" s="9">
        <f t="shared" si="98"/>
        <v>17</v>
      </c>
      <c r="C544" s="9">
        <f t="shared" si="98"/>
        <v>5</v>
      </c>
      <c r="D544" s="9" t="str">
        <f t="shared" si="97"/>
        <v>Boisson spécial numéro 6</v>
      </c>
      <c r="E544" s="93">
        <f t="shared" si="99"/>
        <v>2.76</v>
      </c>
      <c r="F544" s="16">
        <f t="shared" si="99"/>
        <v>9.1999999999999993</v>
      </c>
      <c r="G544" s="17">
        <f t="shared" si="100"/>
        <v>0.3</v>
      </c>
      <c r="H544" s="18">
        <f t="shared" si="101"/>
        <v>6.4399999999999995</v>
      </c>
      <c r="I544" s="11"/>
      <c r="J544" s="9"/>
      <c r="K544" s="9"/>
      <c r="L544" s="23"/>
      <c r="M544" s="54"/>
      <c r="N544"/>
    </row>
    <row r="545" spans="1:14" ht="18" x14ac:dyDescent="0.3">
      <c r="A545" s="80"/>
      <c r="B545" s="9">
        <f t="shared" si="98"/>
        <v>18</v>
      </c>
      <c r="C545" s="9">
        <f t="shared" si="98"/>
        <v>6</v>
      </c>
      <c r="D545" s="9" t="str">
        <f t="shared" si="97"/>
        <v>Boisson spécial numéro 7</v>
      </c>
      <c r="E545" s="93">
        <f t="shared" si="99"/>
        <v>2.8</v>
      </c>
      <c r="F545" s="16">
        <f t="shared" si="99"/>
        <v>9.4</v>
      </c>
      <c r="G545" s="17">
        <f t="shared" si="100"/>
        <v>0.2978723404255319</v>
      </c>
      <c r="H545" s="18">
        <f t="shared" si="101"/>
        <v>6.6000000000000005</v>
      </c>
      <c r="I545" s="11"/>
      <c r="J545" s="9"/>
      <c r="K545" s="9"/>
      <c r="L545" s="23"/>
      <c r="M545" s="54"/>
      <c r="N545"/>
    </row>
    <row r="546" spans="1:14" ht="18" x14ac:dyDescent="0.3">
      <c r="A546" s="80"/>
      <c r="B546" s="9">
        <f t="shared" si="98"/>
        <v>19</v>
      </c>
      <c r="C546" s="9">
        <f t="shared" si="98"/>
        <v>7</v>
      </c>
      <c r="D546" s="9" t="str">
        <f t="shared" si="97"/>
        <v>Boisson spécial numéro 8</v>
      </c>
      <c r="E546" s="93">
        <f t="shared" si="99"/>
        <v>2.82</v>
      </c>
      <c r="F546" s="16">
        <f t="shared" si="99"/>
        <v>9.6</v>
      </c>
      <c r="G546" s="17">
        <f t="shared" si="100"/>
        <v>0.29375000000000001</v>
      </c>
      <c r="H546" s="18">
        <f t="shared" si="101"/>
        <v>6.7799999999999994</v>
      </c>
      <c r="I546" s="11"/>
      <c r="J546" s="9"/>
      <c r="K546" s="9"/>
      <c r="L546" s="23"/>
      <c r="M546" s="54"/>
      <c r="N546"/>
    </row>
    <row r="547" spans="1:14" ht="18" x14ac:dyDescent="0.3">
      <c r="A547" s="80"/>
      <c r="B547" s="9">
        <f t="shared" si="98"/>
        <v>20</v>
      </c>
      <c r="C547" s="9">
        <f t="shared" si="98"/>
        <v>8</v>
      </c>
      <c r="D547" s="9" t="str">
        <f t="shared" si="97"/>
        <v>Boisson spécial numéro 9</v>
      </c>
      <c r="E547" s="93">
        <f t="shared" si="99"/>
        <v>2.86</v>
      </c>
      <c r="F547" s="16">
        <f t="shared" si="99"/>
        <v>9.8000000000000007</v>
      </c>
      <c r="G547" s="17">
        <f t="shared" si="100"/>
        <v>0.2918367346938775</v>
      </c>
      <c r="H547" s="18">
        <f t="shared" si="101"/>
        <v>6.9400000000000013</v>
      </c>
      <c r="I547" s="11"/>
      <c r="J547" s="9"/>
      <c r="K547" s="9"/>
      <c r="L547" s="23"/>
      <c r="M547" s="54"/>
      <c r="N547"/>
    </row>
    <row r="548" spans="1:14" ht="18" x14ac:dyDescent="0.3">
      <c r="A548" s="80"/>
      <c r="B548" s="9">
        <f t="shared" si="98"/>
        <v>21</v>
      </c>
      <c r="C548" s="9">
        <f t="shared" si="98"/>
        <v>9</v>
      </c>
      <c r="D548" s="9" t="str">
        <f t="shared" si="97"/>
        <v>Boisson spécial numéro 10</v>
      </c>
      <c r="E548" s="93">
        <f t="shared" si="99"/>
        <v>2.9</v>
      </c>
      <c r="F548" s="16">
        <f t="shared" si="99"/>
        <v>10</v>
      </c>
      <c r="G548" s="17">
        <f t="shared" si="100"/>
        <v>0.28999999999999998</v>
      </c>
      <c r="H548" s="18">
        <f t="shared" si="101"/>
        <v>7.1</v>
      </c>
      <c r="I548" s="11"/>
      <c r="J548" s="9"/>
      <c r="K548" s="9"/>
      <c r="L548" s="23"/>
      <c r="M548" s="54"/>
      <c r="N548"/>
    </row>
    <row r="549" spans="1:14" ht="18" x14ac:dyDescent="0.3">
      <c r="A549" s="80"/>
      <c r="B549" s="9">
        <f t="shared" si="98"/>
        <v>22</v>
      </c>
      <c r="C549" s="9">
        <f t="shared" si="98"/>
        <v>10</v>
      </c>
      <c r="D549" s="9" t="str">
        <f t="shared" si="97"/>
        <v>Boisson spécial numéro 11</v>
      </c>
      <c r="E549" s="93">
        <f t="shared" si="99"/>
        <v>2.98</v>
      </c>
      <c r="F549" s="16">
        <f t="shared" si="99"/>
        <v>10.4</v>
      </c>
      <c r="G549" s="17">
        <f t="shared" si="100"/>
        <v>0.28653846153846152</v>
      </c>
      <c r="H549" s="18">
        <f t="shared" si="101"/>
        <v>7.42</v>
      </c>
      <c r="I549" s="11"/>
      <c r="J549" s="9"/>
      <c r="K549" s="9"/>
      <c r="L549" s="23"/>
      <c r="M549" s="54"/>
      <c r="N549"/>
    </row>
    <row r="550" spans="1:14" ht="18" x14ac:dyDescent="0.3">
      <c r="A550" s="80"/>
      <c r="B550" s="9">
        <f t="shared" si="98"/>
        <v>23</v>
      </c>
      <c r="C550" s="9">
        <f t="shared" si="98"/>
        <v>11</v>
      </c>
      <c r="D550" s="9" t="str">
        <f t="shared" si="97"/>
        <v>Boisson spécial numéro 12</v>
      </c>
      <c r="E550" s="93">
        <f t="shared" si="99"/>
        <v>3.18</v>
      </c>
      <c r="F550" s="16">
        <f t="shared" si="99"/>
        <v>11.6</v>
      </c>
      <c r="G550" s="17">
        <f t="shared" si="100"/>
        <v>0.27413793103448281</v>
      </c>
      <c r="H550" s="18">
        <f t="shared" si="101"/>
        <v>8.42</v>
      </c>
      <c r="I550" s="11"/>
      <c r="J550" s="9"/>
      <c r="K550" s="9"/>
      <c r="L550" s="23"/>
      <c r="M550" s="54"/>
      <c r="N550"/>
    </row>
    <row r="551" spans="1:14" ht="18" x14ac:dyDescent="0.3">
      <c r="A551" s="80"/>
      <c r="B551" s="9">
        <f t="shared" si="98"/>
        <v>24</v>
      </c>
      <c r="C551" s="9">
        <f t="shared" si="98"/>
        <v>12</v>
      </c>
      <c r="D551" s="9" t="str">
        <f t="shared" si="97"/>
        <v>CmO—PmO—Beverage Cost—Marge brute</v>
      </c>
      <c r="E551" s="93">
        <f t="shared" si="99"/>
        <v>3.48</v>
      </c>
      <c r="F551" s="16">
        <f t="shared" si="99"/>
        <v>13.2</v>
      </c>
      <c r="G551" s="17">
        <f>E551/F551</f>
        <v>0.26363636363636367</v>
      </c>
      <c r="H551" s="18">
        <f>F551-E551</f>
        <v>9.7199999999999989</v>
      </c>
      <c r="I551" s="11"/>
      <c r="J551" s="9"/>
      <c r="K551" s="9"/>
      <c r="L551" s="23"/>
      <c r="M551" s="54"/>
      <c r="N551"/>
    </row>
    <row r="552" spans="1:14" ht="19" x14ac:dyDescent="0.35">
      <c r="A552" s="80"/>
      <c r="B552" s="9"/>
      <c r="C552" s="9"/>
      <c r="D552" s="10" t="str">
        <f>D509</f>
        <v>CmO—PmO—Beverage Cost—Marge brute</v>
      </c>
      <c r="E552" s="29">
        <f>SUM(E540:E551)/C551</f>
        <v>2.8483333333333332</v>
      </c>
      <c r="F552" s="29">
        <f>SUM(F540:F551)/C551</f>
        <v>9.5333333333333332</v>
      </c>
      <c r="G552" s="36">
        <f>E552/F552</f>
        <v>0.29877622377622376</v>
      </c>
      <c r="H552" s="32">
        <f>F552-E552</f>
        <v>6.6850000000000005</v>
      </c>
      <c r="I552" s="33"/>
      <c r="J552" s="9"/>
      <c r="K552" s="9"/>
      <c r="L552" s="91">
        <v>1</v>
      </c>
      <c r="M552" s="54">
        <f>$M$21</f>
        <v>196</v>
      </c>
      <c r="N552"/>
    </row>
    <row r="553" spans="1:14" ht="19" thickBot="1" x14ac:dyDescent="0.35">
      <c r="A553" s="80"/>
      <c r="B553" s="9"/>
      <c r="C553" s="9"/>
      <c r="D553" s="9"/>
      <c r="E553" s="15"/>
      <c r="F553" s="15"/>
      <c r="G553" s="12"/>
      <c r="H553" s="35"/>
      <c r="I553" s="9"/>
      <c r="J553" s="9"/>
      <c r="K553" s="9"/>
      <c r="L553" s="23"/>
      <c r="M553" s="54"/>
      <c r="N553"/>
    </row>
    <row r="554" spans="1:14" ht="21" thickTop="1" thickBot="1" x14ac:dyDescent="0.4">
      <c r="A554" s="80"/>
      <c r="B554" s="9"/>
      <c r="C554" s="37"/>
      <c r="D554" s="38"/>
      <c r="E554" s="39"/>
      <c r="F554" s="39"/>
      <c r="G554" s="40"/>
      <c r="H554" s="41"/>
      <c r="I554" s="42"/>
      <c r="J554" s="9"/>
      <c r="K554" s="9"/>
      <c r="L554" s="23"/>
      <c r="M554" s="54"/>
      <c r="N554"/>
    </row>
    <row r="555" spans="1:14" ht="20" thickTop="1" thickBot="1" x14ac:dyDescent="0.35">
      <c r="A555" s="80"/>
      <c r="B555" s="9"/>
      <c r="C555" s="44"/>
      <c r="D555" s="10"/>
      <c r="E555" s="45" t="str">
        <f>E512</f>
        <v>CmO</v>
      </c>
      <c r="F555" s="45" t="str">
        <f>F512</f>
        <v>PmO</v>
      </c>
      <c r="G555" s="46" t="str">
        <f>G512</f>
        <v>F&amp;BCmO</v>
      </c>
      <c r="H555" s="47" t="str">
        <f>H512</f>
        <v>BmO</v>
      </c>
      <c r="I555" s="48"/>
      <c r="J555" s="9"/>
      <c r="K555" s="9"/>
      <c r="L555" s="23"/>
      <c r="M555" s="54"/>
      <c r="N555"/>
    </row>
    <row r="556" spans="1:14" ht="19" thickTop="1" x14ac:dyDescent="0.3">
      <c r="A556" s="80"/>
      <c r="B556" s="9"/>
      <c r="C556" s="44"/>
      <c r="D556" s="49" t="str">
        <f>D513</f>
        <v>OFFRE TOTALE AVEC LES GÂTERIES ET LES CAFÉS GÂTERIES</v>
      </c>
      <c r="E556" s="15"/>
      <c r="F556" s="15"/>
      <c r="G556" s="12"/>
      <c r="H556" s="35"/>
      <c r="I556" s="50"/>
      <c r="J556" s="9"/>
      <c r="K556" s="9"/>
      <c r="L556" s="23"/>
      <c r="M556" s="54"/>
      <c r="N556"/>
    </row>
    <row r="557" spans="1:14" ht="19" x14ac:dyDescent="0.35">
      <c r="A557" s="80"/>
      <c r="B557" s="9"/>
      <c r="C557" s="44"/>
      <c r="D557" s="10" t="str">
        <f>D514</f>
        <v>CmO—PmO—F&amp;B cost moyen offert—Marge brute</v>
      </c>
      <c r="E557" s="30">
        <f>+(E525+E526+E527+E528+E529+E530+E531+E532+E533+E534+E535+E536+E540+E541+E542+E543+E544+E545+E546+E547+E548+E549+E550+E551)/B551</f>
        <v>2.1649999999999996</v>
      </c>
      <c r="F557" s="30">
        <f>+(F525+F526+F527+F528+F529+F530+F531+F532+F533+F534+F535+F536+F540+F541+F542+F543+F544+F545+F546+F547+F548+F549+F550+F551)/B551</f>
        <v>7.1749999999999998</v>
      </c>
      <c r="G557" s="51">
        <f>E557/F557</f>
        <v>0.30174216027874562</v>
      </c>
      <c r="H557" s="52">
        <f>F557-E557</f>
        <v>5.01</v>
      </c>
      <c r="I557" s="53"/>
      <c r="J557" s="9"/>
      <c r="K557" s="9"/>
      <c r="L557" s="23">
        <f>+L41</f>
        <v>2</v>
      </c>
      <c r="M557" s="54">
        <f>$M$21</f>
        <v>196</v>
      </c>
      <c r="N557"/>
    </row>
    <row r="558" spans="1:14" ht="18" x14ac:dyDescent="0.3">
      <c r="A558" s="80"/>
      <c r="B558" s="9"/>
      <c r="C558" s="44"/>
      <c r="D558" s="9"/>
      <c r="E558" s="55"/>
      <c r="F558" s="55"/>
      <c r="G558" s="56"/>
      <c r="H558" s="57"/>
      <c r="I558" s="58"/>
      <c r="J558" s="9"/>
      <c r="K558" s="9"/>
      <c r="L558" s="23"/>
      <c r="M558" s="54"/>
      <c r="N558"/>
    </row>
    <row r="559" spans="1:14" ht="19" thickBot="1" x14ac:dyDescent="0.35">
      <c r="A559" s="80"/>
      <c r="B559" s="9"/>
      <c r="C559" s="59"/>
      <c r="D559" s="60"/>
      <c r="E559" s="61"/>
      <c r="F559" s="61"/>
      <c r="G559" s="62"/>
      <c r="H559" s="63"/>
      <c r="I559" s="64"/>
      <c r="J559" s="9"/>
      <c r="K559" s="9"/>
      <c r="L559" s="65"/>
      <c r="M559" s="98"/>
      <c r="N559"/>
    </row>
    <row r="560" spans="1:14" ht="19" thickTop="1" x14ac:dyDescent="0.3">
      <c r="A560" s="80"/>
      <c r="B560" s="9"/>
      <c r="C560" s="81"/>
      <c r="D560" s="82"/>
      <c r="E560" s="83"/>
      <c r="F560" s="83"/>
      <c r="G560" s="84"/>
      <c r="H560" s="85"/>
      <c r="I560" s="85"/>
      <c r="J560" s="9"/>
      <c r="K560" s="9"/>
      <c r="L560" s="86"/>
      <c r="M560" s="87"/>
      <c r="N560"/>
    </row>
    <row r="561" spans="2:14" ht="23" x14ac:dyDescent="0.3">
      <c r="D561" s="2" t="s">
        <v>43</v>
      </c>
      <c r="F561" s="3"/>
      <c r="L561" s="69"/>
      <c r="M561" s="70"/>
      <c r="N561"/>
    </row>
    <row r="562" spans="2:14" ht="24" thickBot="1" x14ac:dyDescent="0.35">
      <c r="D562" s="4"/>
      <c r="L562" s="69"/>
      <c r="M562" s="70"/>
      <c r="N562"/>
    </row>
    <row r="563" spans="2:14" ht="23" customHeight="1" thickTop="1" x14ac:dyDescent="0.25">
      <c r="D563" s="4"/>
      <c r="E563" s="108" t="str">
        <f>E477</f>
        <v>Coûts des ressources alimentaires pour chaque produit offert (voir recettes standardisées)</v>
      </c>
      <c r="F563" s="108" t="str">
        <f>F477</f>
        <v>Prix de vente par produit offert</v>
      </c>
      <c r="G563" s="108" t="str">
        <f>G477</f>
        <v xml:space="preserve">« Food &amp; Beverage Cost » </v>
      </c>
      <c r="H563" s="108" t="str">
        <f>H477</f>
        <v>Marge brute gagnée sur la vente de chaque produit offert</v>
      </c>
      <c r="I563" s="5"/>
      <c r="L563" s="113" t="s">
        <v>5</v>
      </c>
      <c r="M563" s="113" t="s">
        <v>6</v>
      </c>
      <c r="N563"/>
    </row>
    <row r="564" spans="2:14" ht="22" x14ac:dyDescent="0.25">
      <c r="D564" s="4"/>
      <c r="E564" s="109"/>
      <c r="F564" s="111"/>
      <c r="G564" s="111"/>
      <c r="H564" s="111"/>
      <c r="I564" s="6"/>
      <c r="L564" s="114"/>
      <c r="M564" s="116"/>
      <c r="N564"/>
    </row>
    <row r="565" spans="2:14" ht="14" customHeight="1" thickBot="1" x14ac:dyDescent="0.25">
      <c r="E565" s="110"/>
      <c r="F565" s="112"/>
      <c r="G565" s="112"/>
      <c r="H565" s="112"/>
      <c r="I565" s="6"/>
      <c r="L565" s="115"/>
      <c r="M565" s="117"/>
      <c r="N565"/>
    </row>
    <row r="566" spans="2:14" ht="20" thickTop="1" thickBot="1" x14ac:dyDescent="0.35">
      <c r="B566" s="1" t="s">
        <v>7</v>
      </c>
      <c r="E566" s="3"/>
      <c r="F566" s="3"/>
      <c r="G566" s="7"/>
      <c r="L566" s="69"/>
      <c r="M566" s="70"/>
      <c r="N566"/>
    </row>
    <row r="567" spans="2:14" ht="19" thickTop="1" x14ac:dyDescent="0.3">
      <c r="B567" s="9"/>
      <c r="C567" s="9"/>
      <c r="D567" s="10" t="str">
        <f t="shared" ref="D567:D580" si="102">D481</f>
        <v>Les Petite Gâteries</v>
      </c>
      <c r="E567" s="11"/>
      <c r="F567" s="11"/>
      <c r="G567" s="12"/>
      <c r="H567" s="9"/>
      <c r="I567" s="9"/>
      <c r="J567" s="9"/>
      <c r="K567" s="9"/>
      <c r="L567" s="13"/>
      <c r="M567" s="97"/>
      <c r="N567"/>
    </row>
    <row r="568" spans="2:14" ht="18" x14ac:dyDescent="0.3">
      <c r="B568" s="9">
        <f t="shared" ref="B568:C579" si="103">B482</f>
        <v>1</v>
      </c>
      <c r="C568" s="9">
        <f t="shared" si="103"/>
        <v>1</v>
      </c>
      <c r="D568" s="9" t="str">
        <f t="shared" si="102"/>
        <v>Petite Gâterie 1</v>
      </c>
      <c r="E568" s="93">
        <f>(E9+E52+E95+E138+E181+E224+E267+E310+E353+E396+E439+E482+E525)/13</f>
        <v>1.2100000000000004</v>
      </c>
      <c r="F568" s="68">
        <f t="shared" ref="F568:F579" si="104">(F9+F52+F95+F138+F181+F224+F267+F310+F353+F396+F439+F482)/12</f>
        <v>3.2999999999999994</v>
      </c>
      <c r="G568" s="17">
        <f t="shared" ref="G568:G580" si="105">E568/F568</f>
        <v>0.36666666666666686</v>
      </c>
      <c r="H568" s="18">
        <f t="shared" ref="H568:H580" si="106">F568-E568</f>
        <v>2.089999999999999</v>
      </c>
      <c r="I568" s="11">
        <f>F568</f>
        <v>3.2999999999999994</v>
      </c>
      <c r="J568" s="106">
        <f>3/12</f>
        <v>0.25</v>
      </c>
      <c r="K568" s="19"/>
      <c r="L568" s="20"/>
      <c r="M568" s="54"/>
      <c r="N568"/>
    </row>
    <row r="569" spans="2:14" ht="18" x14ac:dyDescent="0.3">
      <c r="B569" s="9">
        <f t="shared" si="103"/>
        <v>2</v>
      </c>
      <c r="C569" s="9">
        <f t="shared" si="103"/>
        <v>2</v>
      </c>
      <c r="D569" s="9" t="str">
        <f t="shared" si="102"/>
        <v>Petite Gâterie 2</v>
      </c>
      <c r="E569" s="93">
        <f t="shared" ref="E569:E579" si="107">(E10+E53+E96+E139+E182+E225+E268+E311+E354+E397+E440+E483)/12</f>
        <v>1.3100000000000003</v>
      </c>
      <c r="F569" s="68">
        <f t="shared" si="104"/>
        <v>3.7999999999999994</v>
      </c>
      <c r="G569" s="17">
        <f t="shared" si="105"/>
        <v>0.34473684210526329</v>
      </c>
      <c r="H569" s="18">
        <f t="shared" si="106"/>
        <v>2.4899999999999993</v>
      </c>
      <c r="I569" s="11"/>
      <c r="J569" s="103"/>
      <c r="K569" s="22"/>
      <c r="L569" s="23"/>
      <c r="M569" s="54"/>
      <c r="N569"/>
    </row>
    <row r="570" spans="2:14" ht="19" thickBot="1" x14ac:dyDescent="0.35">
      <c r="B570" s="24">
        <f t="shared" si="103"/>
        <v>3</v>
      </c>
      <c r="C570" s="24">
        <f t="shared" si="103"/>
        <v>3</v>
      </c>
      <c r="D570" s="24" t="str">
        <f t="shared" si="102"/>
        <v>Petite Gâterie 3</v>
      </c>
      <c r="E570" s="94">
        <f t="shared" si="107"/>
        <v>1.3499999999999999</v>
      </c>
      <c r="F570" s="88">
        <f t="shared" si="104"/>
        <v>4</v>
      </c>
      <c r="G570" s="26">
        <f t="shared" si="105"/>
        <v>0.33749999999999997</v>
      </c>
      <c r="H570" s="27">
        <f t="shared" si="106"/>
        <v>2.6500000000000004</v>
      </c>
      <c r="I570" s="28">
        <f>+I568+1.073333</f>
        <v>4.3733329999999997</v>
      </c>
      <c r="J570" s="107"/>
      <c r="K570" s="22"/>
      <c r="L570" s="23"/>
      <c r="M570" s="54"/>
      <c r="N570"/>
    </row>
    <row r="571" spans="2:14" ht="18" x14ac:dyDescent="0.3">
      <c r="B571" s="9">
        <f t="shared" si="103"/>
        <v>4</v>
      </c>
      <c r="C571" s="9">
        <f t="shared" si="103"/>
        <v>4</v>
      </c>
      <c r="D571" s="9" t="str">
        <f t="shared" si="102"/>
        <v>Petite Gâterie 4</v>
      </c>
      <c r="E571" s="93">
        <f t="shared" si="107"/>
        <v>1.4000000000000001</v>
      </c>
      <c r="F571" s="68">
        <f t="shared" si="104"/>
        <v>4.5</v>
      </c>
      <c r="G571" s="17">
        <f t="shared" si="105"/>
        <v>0.31111111111111112</v>
      </c>
      <c r="H571" s="18">
        <f t="shared" si="106"/>
        <v>3.0999999999999996</v>
      </c>
      <c r="I571" s="11">
        <f>+I570+0.01</f>
        <v>4.3833329999999995</v>
      </c>
      <c r="J571" s="102">
        <f>7/12</f>
        <v>0.58333333333333337</v>
      </c>
      <c r="K571" s="19"/>
      <c r="L571" s="23"/>
      <c r="M571" s="54"/>
      <c r="N571"/>
    </row>
    <row r="572" spans="2:14" ht="18" x14ac:dyDescent="0.3">
      <c r="B572" s="9">
        <f t="shared" si="103"/>
        <v>5</v>
      </c>
      <c r="C572" s="9">
        <f t="shared" si="103"/>
        <v>5</v>
      </c>
      <c r="D572" s="9" t="str">
        <f t="shared" si="102"/>
        <v>Petite Gâterie 5</v>
      </c>
      <c r="E572" s="93">
        <f t="shared" si="107"/>
        <v>1.24</v>
      </c>
      <c r="F572" s="68">
        <f t="shared" si="104"/>
        <v>4.6000000000000005</v>
      </c>
      <c r="G572" s="17">
        <f t="shared" si="105"/>
        <v>0.26956521739130429</v>
      </c>
      <c r="H572" s="18">
        <f t="shared" si="106"/>
        <v>3.3600000000000003</v>
      </c>
      <c r="I572" s="11"/>
      <c r="J572" s="103"/>
      <c r="K572" s="22"/>
      <c r="L572" s="23"/>
      <c r="M572" s="54"/>
      <c r="N572"/>
    </row>
    <row r="573" spans="2:14" ht="18" x14ac:dyDescent="0.3">
      <c r="B573" s="9">
        <f t="shared" si="103"/>
        <v>6</v>
      </c>
      <c r="C573" s="9">
        <f t="shared" si="103"/>
        <v>6</v>
      </c>
      <c r="D573" s="9" t="str">
        <f t="shared" si="102"/>
        <v>Petite Gâterie 6</v>
      </c>
      <c r="E573" s="93">
        <f t="shared" si="107"/>
        <v>1.3900000000000003</v>
      </c>
      <c r="F573" s="68">
        <f t="shared" si="104"/>
        <v>4.7000000000000011</v>
      </c>
      <c r="G573" s="17">
        <f t="shared" si="105"/>
        <v>0.29574468085106381</v>
      </c>
      <c r="H573" s="18">
        <f t="shared" si="106"/>
        <v>3.3100000000000005</v>
      </c>
      <c r="I573" s="11"/>
      <c r="J573" s="103"/>
      <c r="K573" s="22"/>
      <c r="L573" s="23"/>
      <c r="M573" s="54"/>
      <c r="N573"/>
    </row>
    <row r="574" spans="2:14" ht="18" x14ac:dyDescent="0.3">
      <c r="B574" s="9">
        <f t="shared" si="103"/>
        <v>7</v>
      </c>
      <c r="C574" s="9">
        <f t="shared" si="103"/>
        <v>7</v>
      </c>
      <c r="D574" s="9" t="str">
        <f t="shared" si="102"/>
        <v>Petite Gâterie 7</v>
      </c>
      <c r="E574" s="93">
        <f t="shared" si="107"/>
        <v>1.51</v>
      </c>
      <c r="F574" s="68">
        <f t="shared" si="104"/>
        <v>4.7999999999999989</v>
      </c>
      <c r="G574" s="17">
        <f t="shared" si="105"/>
        <v>0.31458333333333338</v>
      </c>
      <c r="H574" s="18">
        <f t="shared" si="106"/>
        <v>3.2899999999999991</v>
      </c>
      <c r="I574" s="11"/>
      <c r="J574" s="103"/>
      <c r="K574" s="22"/>
      <c r="L574" s="23"/>
      <c r="M574" s="54"/>
      <c r="N574"/>
    </row>
    <row r="575" spans="2:14" ht="18" x14ac:dyDescent="0.3">
      <c r="B575" s="9">
        <f t="shared" si="103"/>
        <v>8</v>
      </c>
      <c r="C575" s="9">
        <f t="shared" si="103"/>
        <v>8</v>
      </c>
      <c r="D575" s="9" t="str">
        <f t="shared" si="102"/>
        <v>Petite Gâterie 8</v>
      </c>
      <c r="E575" s="93">
        <f t="shared" si="107"/>
        <v>1.53</v>
      </c>
      <c r="F575" s="68">
        <f t="shared" si="104"/>
        <v>4.8999999999999995</v>
      </c>
      <c r="G575" s="17">
        <f t="shared" si="105"/>
        <v>0.3122448979591837</v>
      </c>
      <c r="H575" s="18">
        <f t="shared" si="106"/>
        <v>3.3699999999999992</v>
      </c>
      <c r="I575" s="11"/>
      <c r="J575" s="103"/>
      <c r="K575" s="22"/>
      <c r="L575" s="23"/>
      <c r="M575" s="54"/>
      <c r="N575"/>
    </row>
    <row r="576" spans="2:14" ht="18" x14ac:dyDescent="0.3">
      <c r="B576" s="9">
        <f t="shared" si="103"/>
        <v>9</v>
      </c>
      <c r="C576" s="9">
        <f t="shared" si="103"/>
        <v>9</v>
      </c>
      <c r="D576" s="9" t="str">
        <f t="shared" si="102"/>
        <v>Petite Gâterie 9</v>
      </c>
      <c r="E576" s="93">
        <f t="shared" si="107"/>
        <v>1.5500000000000005</v>
      </c>
      <c r="F576" s="68">
        <f t="shared" si="104"/>
        <v>5</v>
      </c>
      <c r="G576" s="17">
        <f t="shared" si="105"/>
        <v>0.31000000000000011</v>
      </c>
      <c r="H576" s="18">
        <f t="shared" si="106"/>
        <v>3.4499999999999993</v>
      </c>
      <c r="I576" s="11"/>
      <c r="J576" s="103"/>
      <c r="K576" s="22"/>
      <c r="L576" s="23"/>
      <c r="M576" s="54"/>
      <c r="N576"/>
    </row>
    <row r="577" spans="2:14" ht="19" thickBot="1" x14ac:dyDescent="0.35">
      <c r="B577" s="24">
        <f t="shared" si="103"/>
        <v>10</v>
      </c>
      <c r="C577" s="24">
        <f t="shared" si="103"/>
        <v>10</v>
      </c>
      <c r="D577" s="24" t="str">
        <f t="shared" si="102"/>
        <v>Petite Gâterie 10</v>
      </c>
      <c r="E577" s="94">
        <f t="shared" si="107"/>
        <v>1.59</v>
      </c>
      <c r="F577" s="88">
        <f t="shared" si="104"/>
        <v>5.2000000000000011</v>
      </c>
      <c r="G577" s="26">
        <f t="shared" si="105"/>
        <v>0.30576923076923074</v>
      </c>
      <c r="H577" s="27">
        <f t="shared" si="106"/>
        <v>3.6100000000000012</v>
      </c>
      <c r="I577" s="28">
        <f>+I570+1.073333</f>
        <v>5.4466659999999996</v>
      </c>
      <c r="J577" s="107"/>
      <c r="K577" s="22"/>
      <c r="L577" s="23"/>
      <c r="M577" s="54"/>
      <c r="N577"/>
    </row>
    <row r="578" spans="2:14" ht="18" x14ac:dyDescent="0.3">
      <c r="B578" s="9">
        <f t="shared" si="103"/>
        <v>11</v>
      </c>
      <c r="C578" s="9">
        <f t="shared" si="103"/>
        <v>11</v>
      </c>
      <c r="D578" s="9" t="str">
        <f t="shared" si="102"/>
        <v>Petite Gâterie 11</v>
      </c>
      <c r="E578" s="93">
        <f t="shared" si="107"/>
        <v>1.8299999999999994</v>
      </c>
      <c r="F578" s="68">
        <f t="shared" si="104"/>
        <v>6.3999999999999995</v>
      </c>
      <c r="G578" s="17">
        <f t="shared" si="105"/>
        <v>0.28593749999999996</v>
      </c>
      <c r="H578" s="18">
        <f t="shared" si="106"/>
        <v>4.57</v>
      </c>
      <c r="I578" s="11">
        <f>+I577+0.01</f>
        <v>5.4566659999999994</v>
      </c>
      <c r="J578" s="102">
        <f>2/12</f>
        <v>0.16666666666666666</v>
      </c>
      <c r="K578" s="19"/>
      <c r="L578" s="23"/>
      <c r="M578" s="54"/>
      <c r="N578"/>
    </row>
    <row r="579" spans="2:14" ht="18" x14ac:dyDescent="0.3">
      <c r="B579" s="9">
        <f t="shared" si="103"/>
        <v>12</v>
      </c>
      <c r="C579" s="9">
        <f t="shared" si="103"/>
        <v>12</v>
      </c>
      <c r="D579" s="9" t="str">
        <f t="shared" si="102"/>
        <v>Petite Gâterie 12</v>
      </c>
      <c r="E579" s="93">
        <f t="shared" si="107"/>
        <v>1.8700000000000008</v>
      </c>
      <c r="F579" s="68">
        <f t="shared" si="104"/>
        <v>6.5999999999999988</v>
      </c>
      <c r="G579" s="17">
        <f t="shared" si="105"/>
        <v>0.28333333333333349</v>
      </c>
      <c r="H579" s="18">
        <f t="shared" si="106"/>
        <v>4.7299999999999978</v>
      </c>
      <c r="I579" s="11">
        <f>F579</f>
        <v>6.5999999999999988</v>
      </c>
      <c r="J579" s="103"/>
      <c r="K579" s="22"/>
      <c r="L579" s="23"/>
      <c r="M579" s="54"/>
      <c r="N579"/>
    </row>
    <row r="580" spans="2:14" ht="19" x14ac:dyDescent="0.35">
      <c r="B580" s="9"/>
      <c r="C580" s="9"/>
      <c r="D580" s="10" t="str">
        <f t="shared" si="102"/>
        <v>CmO—PmO—Food Cost—BmO</v>
      </c>
      <c r="E580" s="29">
        <f>SUM(E568:E579)/C579</f>
        <v>1.4816666666666667</v>
      </c>
      <c r="F580" s="30">
        <f>SUM(F568:F579)/C579</f>
        <v>4.8166666666666664</v>
      </c>
      <c r="G580" s="31">
        <f t="shared" si="105"/>
        <v>0.30761245674740484</v>
      </c>
      <c r="H580" s="32">
        <f t="shared" si="106"/>
        <v>3.335</v>
      </c>
      <c r="I580" s="33"/>
      <c r="J580" s="9"/>
      <c r="K580" s="9"/>
      <c r="L580" s="34">
        <f>+(L21+L64+L107+L150+L193+L236+L279+L322+L365+L408+L451+L494+L537)/13</f>
        <v>1</v>
      </c>
      <c r="M580" s="54">
        <f>$M$21</f>
        <v>196</v>
      </c>
      <c r="N580"/>
    </row>
    <row r="581" spans="2:14" ht="18" x14ac:dyDescent="0.3">
      <c r="B581" s="9" t="s">
        <v>7</v>
      </c>
      <c r="C581" s="9"/>
      <c r="D581" s="9"/>
      <c r="E581" s="15"/>
      <c r="F581" s="15"/>
      <c r="G581" s="17"/>
      <c r="H581" s="35"/>
      <c r="I581" s="11"/>
      <c r="J581" s="9"/>
      <c r="K581" s="9"/>
      <c r="L581" s="23"/>
      <c r="M581" s="54"/>
      <c r="N581"/>
    </row>
    <row r="582" spans="2:14" ht="18" x14ac:dyDescent="0.3">
      <c r="B582" s="9"/>
      <c r="C582" s="9"/>
      <c r="D582" s="10" t="str">
        <f t="shared" ref="D582:D595" si="108">D496</f>
        <v>Les Boissons  Gâteries</v>
      </c>
      <c r="E582" s="15"/>
      <c r="F582" s="15"/>
      <c r="G582" s="17"/>
      <c r="H582" s="35"/>
      <c r="I582" s="11"/>
      <c r="J582" s="9"/>
      <c r="K582" s="9"/>
      <c r="L582" s="23"/>
      <c r="M582" s="54"/>
      <c r="N582"/>
    </row>
    <row r="583" spans="2:14" ht="18" x14ac:dyDescent="0.3">
      <c r="B583" s="9">
        <f t="shared" ref="B583:C594" si="109">B497</f>
        <v>13</v>
      </c>
      <c r="C583" s="9">
        <f t="shared" si="109"/>
        <v>1</v>
      </c>
      <c r="D583" s="9" t="str">
        <f t="shared" si="108"/>
        <v>Boisson spécial numéro 1</v>
      </c>
      <c r="E583" s="93">
        <f t="shared" ref="E583:F594" si="110">(E24+E67+E110+E153+E196+E239+E282+E325+E368+E411+E454+E497)/12</f>
        <v>2.2800000000000002</v>
      </c>
      <c r="F583" s="68">
        <f t="shared" si="110"/>
        <v>6.5999999999999988</v>
      </c>
      <c r="G583" s="17">
        <f>E583/F583</f>
        <v>0.34545454545454557</v>
      </c>
      <c r="H583" s="18">
        <f>F583-E583</f>
        <v>4.3199999999999985</v>
      </c>
      <c r="I583" s="11">
        <f>F583</f>
        <v>6.5999999999999988</v>
      </c>
      <c r="J583" s="106">
        <f>3/12</f>
        <v>0.25</v>
      </c>
      <c r="K583" s="19"/>
      <c r="L583" s="23"/>
      <c r="M583" s="54"/>
      <c r="N583"/>
    </row>
    <row r="584" spans="2:14" ht="18" x14ac:dyDescent="0.3">
      <c r="B584" s="9">
        <f t="shared" si="109"/>
        <v>14</v>
      </c>
      <c r="C584" s="9">
        <f t="shared" si="109"/>
        <v>2</v>
      </c>
      <c r="D584" s="9" t="str">
        <f t="shared" si="108"/>
        <v>Boisson spécial numéro 2</v>
      </c>
      <c r="E584" s="93">
        <f t="shared" si="110"/>
        <v>2.66</v>
      </c>
      <c r="F584" s="16">
        <f t="shared" si="110"/>
        <v>7.5999999999999988</v>
      </c>
      <c r="G584" s="17">
        <f>E584/F584</f>
        <v>0.35000000000000009</v>
      </c>
      <c r="H584" s="18">
        <f>F584-E584</f>
        <v>4.9399999999999986</v>
      </c>
      <c r="I584" s="11"/>
      <c r="J584" s="103"/>
      <c r="K584" s="22"/>
      <c r="L584" s="23"/>
      <c r="M584" s="54"/>
      <c r="N584"/>
    </row>
    <row r="585" spans="2:14" ht="19" thickBot="1" x14ac:dyDescent="0.35">
      <c r="B585" s="24">
        <f t="shared" si="109"/>
        <v>15</v>
      </c>
      <c r="C585" s="24">
        <f t="shared" si="109"/>
        <v>3</v>
      </c>
      <c r="D585" s="24" t="str">
        <f t="shared" si="108"/>
        <v>Boisson spécial numéro 3</v>
      </c>
      <c r="E585" s="94">
        <f t="shared" si="110"/>
        <v>2.7400000000000007</v>
      </c>
      <c r="F585" s="25">
        <f t="shared" si="110"/>
        <v>8</v>
      </c>
      <c r="G585" s="26">
        <f>E585/F585</f>
        <v>0.34250000000000008</v>
      </c>
      <c r="H585" s="27">
        <f>F585-E585</f>
        <v>5.26</v>
      </c>
      <c r="I585" s="28">
        <f>+I583+2.15</f>
        <v>8.7499999999999982</v>
      </c>
      <c r="J585" s="107"/>
      <c r="K585" s="22"/>
      <c r="L585" s="23"/>
      <c r="M585" s="54"/>
      <c r="N585"/>
    </row>
    <row r="586" spans="2:14" ht="18" x14ac:dyDescent="0.3">
      <c r="B586" s="9">
        <f t="shared" si="109"/>
        <v>16</v>
      </c>
      <c r="C586" s="9">
        <f t="shared" si="109"/>
        <v>4</v>
      </c>
      <c r="D586" s="9" t="str">
        <f t="shared" si="108"/>
        <v>Boisson spécial numéro 4</v>
      </c>
      <c r="E586" s="93">
        <f t="shared" si="110"/>
        <v>2.7199999999999993</v>
      </c>
      <c r="F586" s="68">
        <f t="shared" si="110"/>
        <v>9</v>
      </c>
      <c r="G586" s="17">
        <f t="shared" ref="G586:G593" si="111">E586/F586</f>
        <v>0.30222222222222217</v>
      </c>
      <c r="H586" s="18">
        <f t="shared" ref="H586:H593" si="112">F586-E586</f>
        <v>6.2800000000000011</v>
      </c>
      <c r="I586" s="11">
        <f>+I585+0.01</f>
        <v>8.759999999999998</v>
      </c>
      <c r="J586" s="106">
        <f>7/12</f>
        <v>0.58333333333333337</v>
      </c>
      <c r="K586" s="19"/>
      <c r="L586" s="23"/>
      <c r="M586" s="54"/>
      <c r="N586"/>
    </row>
    <row r="587" spans="2:14" ht="18" x14ac:dyDescent="0.3">
      <c r="B587" s="9">
        <f t="shared" si="109"/>
        <v>17</v>
      </c>
      <c r="C587" s="9">
        <f t="shared" si="109"/>
        <v>5</v>
      </c>
      <c r="D587" s="9" t="str">
        <f t="shared" si="108"/>
        <v>Boisson spécial numéro 5</v>
      </c>
      <c r="E587" s="93">
        <f t="shared" si="110"/>
        <v>2.7599999999999993</v>
      </c>
      <c r="F587" s="16">
        <f t="shared" si="110"/>
        <v>9.2000000000000011</v>
      </c>
      <c r="G587" s="17">
        <f t="shared" si="111"/>
        <v>0.29999999999999988</v>
      </c>
      <c r="H587" s="18">
        <f t="shared" si="112"/>
        <v>6.4400000000000013</v>
      </c>
      <c r="I587" s="11"/>
      <c r="J587" s="103"/>
      <c r="K587" s="22"/>
      <c r="L587" s="23"/>
      <c r="M587" s="54"/>
      <c r="N587"/>
    </row>
    <row r="588" spans="2:14" ht="18" x14ac:dyDescent="0.3">
      <c r="B588" s="9">
        <f t="shared" si="109"/>
        <v>18</v>
      </c>
      <c r="C588" s="9">
        <f t="shared" si="109"/>
        <v>6</v>
      </c>
      <c r="D588" s="9" t="str">
        <f t="shared" si="108"/>
        <v>Boisson spécial numéro 6</v>
      </c>
      <c r="E588" s="93">
        <f t="shared" si="110"/>
        <v>2.8000000000000003</v>
      </c>
      <c r="F588" s="16">
        <f t="shared" si="110"/>
        <v>9.4000000000000021</v>
      </c>
      <c r="G588" s="17">
        <f t="shared" si="111"/>
        <v>0.2978723404255319</v>
      </c>
      <c r="H588" s="18">
        <f t="shared" si="112"/>
        <v>6.6000000000000014</v>
      </c>
      <c r="I588" s="11"/>
      <c r="J588" s="103"/>
      <c r="K588" s="22"/>
      <c r="L588" s="23"/>
      <c r="M588" s="54"/>
      <c r="N588"/>
    </row>
    <row r="589" spans="2:14" ht="18" x14ac:dyDescent="0.3">
      <c r="B589" s="9">
        <f t="shared" si="109"/>
        <v>19</v>
      </c>
      <c r="C589" s="9">
        <f t="shared" si="109"/>
        <v>7</v>
      </c>
      <c r="D589" s="9" t="str">
        <f t="shared" si="108"/>
        <v>Boisson spécial numéro 7</v>
      </c>
      <c r="E589" s="93">
        <f t="shared" si="110"/>
        <v>2.82</v>
      </c>
      <c r="F589" s="16">
        <f t="shared" si="110"/>
        <v>9.5999999999999979</v>
      </c>
      <c r="G589" s="17">
        <f t="shared" si="111"/>
        <v>0.29375000000000007</v>
      </c>
      <c r="H589" s="18">
        <f t="shared" si="112"/>
        <v>6.7799999999999976</v>
      </c>
      <c r="I589" s="11"/>
      <c r="J589" s="103"/>
      <c r="K589" s="22"/>
      <c r="L589" s="23"/>
      <c r="M589" s="54"/>
      <c r="N589"/>
    </row>
    <row r="590" spans="2:14" ht="18" x14ac:dyDescent="0.3">
      <c r="B590" s="9">
        <f t="shared" si="109"/>
        <v>20</v>
      </c>
      <c r="C590" s="9">
        <f t="shared" si="109"/>
        <v>8</v>
      </c>
      <c r="D590" s="9" t="str">
        <f t="shared" si="108"/>
        <v>Boisson spécial numéro 8</v>
      </c>
      <c r="E590" s="93">
        <f t="shared" si="110"/>
        <v>2.86</v>
      </c>
      <c r="F590" s="16">
        <f t="shared" si="110"/>
        <v>9.7999999999999989</v>
      </c>
      <c r="G590" s="17">
        <f t="shared" si="111"/>
        <v>0.29183673469387755</v>
      </c>
      <c r="H590" s="18">
        <f t="shared" si="112"/>
        <v>6.9399999999999995</v>
      </c>
      <c r="I590" s="11"/>
      <c r="J590" s="103"/>
      <c r="K590" s="22"/>
      <c r="L590" s="23"/>
      <c r="M590" s="54"/>
      <c r="N590"/>
    </row>
    <row r="591" spans="2:14" ht="18" x14ac:dyDescent="0.3">
      <c r="B591" s="9">
        <f t="shared" si="109"/>
        <v>21</v>
      </c>
      <c r="C591" s="9">
        <f t="shared" si="109"/>
        <v>9</v>
      </c>
      <c r="D591" s="9" t="str">
        <f t="shared" si="108"/>
        <v>Boisson spécial numéro 9</v>
      </c>
      <c r="E591" s="93">
        <f t="shared" si="110"/>
        <v>2.899999999999999</v>
      </c>
      <c r="F591" s="16">
        <f t="shared" si="110"/>
        <v>10</v>
      </c>
      <c r="G591" s="17">
        <f t="shared" si="111"/>
        <v>0.28999999999999992</v>
      </c>
      <c r="H591" s="18">
        <f t="shared" si="112"/>
        <v>7.1000000000000014</v>
      </c>
      <c r="I591" s="11"/>
      <c r="J591" s="103"/>
      <c r="K591" s="22"/>
      <c r="L591" s="23"/>
      <c r="M591" s="54"/>
      <c r="N591"/>
    </row>
    <row r="592" spans="2:14" ht="19" thickBot="1" x14ac:dyDescent="0.35">
      <c r="B592" s="24">
        <f t="shared" si="109"/>
        <v>22</v>
      </c>
      <c r="C592" s="24">
        <f t="shared" si="109"/>
        <v>10</v>
      </c>
      <c r="D592" s="24" t="str">
        <f t="shared" si="108"/>
        <v>Boisson spécial numéro 10</v>
      </c>
      <c r="E592" s="94">
        <f t="shared" si="110"/>
        <v>2.98</v>
      </c>
      <c r="F592" s="25">
        <f t="shared" si="110"/>
        <v>10.400000000000002</v>
      </c>
      <c r="G592" s="26">
        <f t="shared" si="111"/>
        <v>0.28653846153846146</v>
      </c>
      <c r="H592" s="27">
        <f t="shared" si="112"/>
        <v>7.4200000000000017</v>
      </c>
      <c r="I592" s="28">
        <f>+I585+2.15</f>
        <v>10.899999999999999</v>
      </c>
      <c r="J592" s="107"/>
      <c r="K592" s="22"/>
      <c r="L592" s="23"/>
      <c r="M592" s="54"/>
      <c r="N592"/>
    </row>
    <row r="593" spans="2:14" ht="18" x14ac:dyDescent="0.3">
      <c r="B593" s="9">
        <f t="shared" si="109"/>
        <v>23</v>
      </c>
      <c r="C593" s="9">
        <f t="shared" si="109"/>
        <v>11</v>
      </c>
      <c r="D593" s="9" t="str">
        <f t="shared" si="108"/>
        <v>Boisson spécial numéro 11</v>
      </c>
      <c r="E593" s="93">
        <f t="shared" si="110"/>
        <v>3.18</v>
      </c>
      <c r="F593" s="16">
        <f t="shared" si="110"/>
        <v>11.599999999999996</v>
      </c>
      <c r="G593" s="17">
        <f t="shared" si="111"/>
        <v>0.27413793103448286</v>
      </c>
      <c r="H593" s="18">
        <f t="shared" si="112"/>
        <v>8.4199999999999964</v>
      </c>
      <c r="I593" s="11">
        <f>+I592+0.01</f>
        <v>10.909999999999998</v>
      </c>
      <c r="J593" s="102">
        <f>2/12</f>
        <v>0.16666666666666666</v>
      </c>
      <c r="K593" s="19"/>
      <c r="L593" s="23"/>
      <c r="M593" s="54"/>
      <c r="N593"/>
    </row>
    <row r="594" spans="2:14" ht="18" x14ac:dyDescent="0.3">
      <c r="B594" s="9">
        <f t="shared" si="109"/>
        <v>24</v>
      </c>
      <c r="C594" s="9">
        <f t="shared" si="109"/>
        <v>12</v>
      </c>
      <c r="D594" s="9" t="str">
        <f t="shared" si="108"/>
        <v>Boisson spécial numéro 12</v>
      </c>
      <c r="E594" s="93">
        <f t="shared" si="110"/>
        <v>3.4799999999999991</v>
      </c>
      <c r="F594" s="16">
        <f t="shared" si="110"/>
        <v>13.199999999999998</v>
      </c>
      <c r="G594" s="17">
        <f>E594/F594</f>
        <v>0.26363636363636361</v>
      </c>
      <c r="H594" s="18">
        <f>F594-E594</f>
        <v>9.7199999999999989</v>
      </c>
      <c r="I594" s="11">
        <f>F594</f>
        <v>13.199999999999998</v>
      </c>
      <c r="J594" s="103"/>
      <c r="K594" s="22"/>
      <c r="L594" s="23"/>
      <c r="M594" s="54"/>
      <c r="N594"/>
    </row>
    <row r="595" spans="2:14" ht="19" x14ac:dyDescent="0.35">
      <c r="B595" s="9"/>
      <c r="C595" s="9"/>
      <c r="D595" s="10" t="str">
        <f t="shared" si="108"/>
        <v>CmO—PmO—Beverage Cost—Marge brute</v>
      </c>
      <c r="E595" s="29">
        <f>SUM(E583:E594)/C594</f>
        <v>2.8483333333333332</v>
      </c>
      <c r="F595" s="30">
        <f>SUM(F583:F594)/C594</f>
        <v>9.5333333333333332</v>
      </c>
      <c r="G595" s="36">
        <f>E595/F595</f>
        <v>0.29877622377622376</v>
      </c>
      <c r="H595" s="32">
        <f>F595-E595</f>
        <v>6.6850000000000005</v>
      </c>
      <c r="I595" s="33"/>
      <c r="J595" s="9"/>
      <c r="K595" s="9"/>
      <c r="L595" s="34">
        <f>+(L36+L79+L122+L165+L208+L251+L294+L337+L380+L423+L466+L509+L552)/13</f>
        <v>1</v>
      </c>
      <c r="M595" s="54">
        <f>$M$21</f>
        <v>196</v>
      </c>
      <c r="N595"/>
    </row>
    <row r="596" spans="2:14" ht="19" thickBot="1" x14ac:dyDescent="0.35">
      <c r="B596" s="9"/>
      <c r="C596" s="9"/>
      <c r="D596" s="9"/>
      <c r="E596" s="15"/>
      <c r="F596" s="15"/>
      <c r="G596" s="12"/>
      <c r="H596" s="35"/>
      <c r="I596" s="9"/>
      <c r="J596" s="9"/>
      <c r="K596" s="100" t="s">
        <v>7</v>
      </c>
      <c r="L596" s="23"/>
      <c r="M596" s="54"/>
      <c r="N596"/>
    </row>
    <row r="597" spans="2:14" ht="21" thickTop="1" thickBot="1" x14ac:dyDescent="0.4">
      <c r="B597" s="9"/>
      <c r="C597" s="37"/>
      <c r="D597" s="38"/>
      <c r="E597" s="39"/>
      <c r="F597" s="39"/>
      <c r="G597" s="40"/>
      <c r="H597" s="41"/>
      <c r="I597" s="42"/>
      <c r="J597" s="9"/>
      <c r="K597" s="9"/>
      <c r="L597" s="23"/>
      <c r="M597" s="54"/>
      <c r="N597"/>
    </row>
    <row r="598" spans="2:14" ht="20" thickTop="1" thickBot="1" x14ac:dyDescent="0.35">
      <c r="B598" s="9"/>
      <c r="C598" s="44"/>
      <c r="D598" s="10"/>
      <c r="E598" s="45" t="str">
        <f>E512</f>
        <v>CmO</v>
      </c>
      <c r="F598" s="45" t="str">
        <f>F512</f>
        <v>PmO</v>
      </c>
      <c r="G598" s="46" t="str">
        <f>G512</f>
        <v>F&amp;BCmO</v>
      </c>
      <c r="H598" s="47" t="str">
        <f>H512</f>
        <v>BmO</v>
      </c>
      <c r="I598" s="48"/>
      <c r="J598" s="9"/>
      <c r="K598" s="9"/>
      <c r="L598" s="23"/>
      <c r="M598" s="54"/>
      <c r="N598"/>
    </row>
    <row r="599" spans="2:14" ht="19" thickTop="1" x14ac:dyDescent="0.3">
      <c r="B599" s="9"/>
      <c r="C599" s="44"/>
      <c r="D599" s="49" t="str">
        <f>D513</f>
        <v>OFFRE TOTALE AVEC LES GÂTERIES ET LES CAFÉS GÂTERIES</v>
      </c>
      <c r="E599" s="15"/>
      <c r="F599" s="15"/>
      <c r="G599" s="12"/>
      <c r="H599" s="35"/>
      <c r="I599" s="50"/>
      <c r="J599" s="9"/>
      <c r="K599" s="9"/>
      <c r="L599" s="23"/>
      <c r="M599" s="54"/>
      <c r="N599"/>
    </row>
    <row r="600" spans="2:14" ht="19" x14ac:dyDescent="0.35">
      <c r="B600" s="9"/>
      <c r="C600" s="44"/>
      <c r="D600" s="10" t="str">
        <f>D514</f>
        <v>CmO—PmO—F&amp;B cost moyen offert—Marge brute</v>
      </c>
      <c r="E600" s="30">
        <f>+(E568+E569+E570+E571+E572+E573+E574+E575+E576+E577+E578+E579+E583+E584+E585+E586+E587+E588+E589+E590+E591+E592+E593+E594)/B594</f>
        <v>2.1649999999999996</v>
      </c>
      <c r="F600" s="30">
        <f>+(F568+F569+F570+F571+F572+F573+F574+F575+F576+F577+F578+F579+F583+F584+F585+F586+F587+F588+F589+F590+F591+F592+F593+F594)/B594</f>
        <v>7.1749999999999998</v>
      </c>
      <c r="G600" s="51">
        <f>E600/F600</f>
        <v>0.30174216027874562</v>
      </c>
      <c r="H600" s="52">
        <f>F600-E600</f>
        <v>5.01</v>
      </c>
      <c r="I600" s="53"/>
      <c r="J600" s="9"/>
      <c r="K600" s="9"/>
      <c r="L600" s="23">
        <f>+L580+L595</f>
        <v>2</v>
      </c>
      <c r="M600" s="54">
        <f>$M$21</f>
        <v>196</v>
      </c>
      <c r="N600"/>
    </row>
    <row r="601" spans="2:14" ht="18" x14ac:dyDescent="0.3">
      <c r="B601" s="9"/>
      <c r="C601" s="44"/>
      <c r="D601" s="9"/>
      <c r="E601" s="55"/>
      <c r="F601" s="55"/>
      <c r="G601" s="56"/>
      <c r="H601" s="57"/>
      <c r="I601" s="58"/>
      <c r="J601" s="9"/>
      <c r="K601" s="9"/>
      <c r="L601" s="23"/>
      <c r="M601" s="54"/>
      <c r="N601"/>
    </row>
    <row r="602" spans="2:14" ht="19" thickBot="1" x14ac:dyDescent="0.35">
      <c r="B602" s="9"/>
      <c r="C602" s="59"/>
      <c r="D602" s="60"/>
      <c r="E602" s="61"/>
      <c r="F602" s="61"/>
      <c r="G602" s="62"/>
      <c r="H602" s="63"/>
      <c r="I602" s="64"/>
      <c r="J602" s="9"/>
      <c r="K602" s="9"/>
      <c r="L602" s="65"/>
      <c r="M602" s="98"/>
      <c r="N602"/>
    </row>
    <row r="603" spans="2:14" ht="19" thickTop="1" x14ac:dyDescent="0.3">
      <c r="L603" s="69"/>
      <c r="M603" s="70"/>
      <c r="N603"/>
    </row>
    <row r="604" spans="2:14" ht="18" x14ac:dyDescent="0.3">
      <c r="L604" s="69"/>
      <c r="M604" s="70"/>
      <c r="N604"/>
    </row>
    <row r="605" spans="2:14" ht="18" x14ac:dyDescent="0.3">
      <c r="L605" s="69"/>
      <c r="M605" s="70"/>
      <c r="N605"/>
    </row>
    <row r="606" spans="2:14" ht="30" x14ac:dyDescent="0.3">
      <c r="D606" s="71" t="s">
        <v>44</v>
      </c>
      <c r="E606" s="71" t="s">
        <v>45</v>
      </c>
      <c r="F606" s="71" t="s">
        <v>46</v>
      </c>
      <c r="G606" s="71" t="s">
        <v>37</v>
      </c>
      <c r="L606" s="69"/>
      <c r="M606" s="70"/>
      <c r="N606"/>
    </row>
    <row r="607" spans="2:14" ht="27" thickBot="1" x14ac:dyDescent="0.35">
      <c r="D607" s="72"/>
      <c r="E607" s="72"/>
      <c r="F607" s="72"/>
      <c r="G607" s="72"/>
      <c r="L607" s="69"/>
      <c r="M607" s="70"/>
      <c r="N607"/>
    </row>
    <row r="608" spans="2:14" ht="28" thickTop="1" thickBot="1" x14ac:dyDescent="0.35">
      <c r="D608" s="73">
        <f>+E608*(F608*G608)</f>
        <v>944.06666666666661</v>
      </c>
      <c r="E608" s="74">
        <f>M600</f>
        <v>196</v>
      </c>
      <c r="F608" s="75">
        <f>L580</f>
        <v>1</v>
      </c>
      <c r="G608" s="76">
        <f>F580</f>
        <v>4.8166666666666664</v>
      </c>
      <c r="L608" s="77" t="s">
        <v>7</v>
      </c>
      <c r="M608" s="70"/>
      <c r="N608"/>
    </row>
    <row r="609" spans="4:14" ht="28" thickTop="1" thickBot="1" x14ac:dyDescent="0.35">
      <c r="D609" s="72"/>
      <c r="E609" s="101" t="s">
        <v>62</v>
      </c>
      <c r="F609" s="104">
        <f>+F608*G608</f>
        <v>4.8166666666666664</v>
      </c>
      <c r="G609" s="105"/>
      <c r="L609" s="69"/>
      <c r="M609" s="70"/>
      <c r="N609"/>
    </row>
    <row r="610" spans="4:14" ht="19" thickTop="1" x14ac:dyDescent="0.3">
      <c r="L610" s="69"/>
      <c r="M610" s="70"/>
      <c r="N610"/>
    </row>
    <row r="611" spans="4:14" ht="30" x14ac:dyDescent="0.3">
      <c r="D611" s="71" t="s">
        <v>47</v>
      </c>
      <c r="E611" s="71" t="s">
        <v>45</v>
      </c>
      <c r="F611" s="71" t="s">
        <v>46</v>
      </c>
      <c r="G611" s="71" t="s">
        <v>37</v>
      </c>
      <c r="L611" s="69"/>
      <c r="M611" s="70"/>
      <c r="N611"/>
    </row>
    <row r="612" spans="4:14" ht="27" thickBot="1" x14ac:dyDescent="0.35">
      <c r="D612" s="72"/>
      <c r="E612" s="72"/>
      <c r="F612" s="72"/>
      <c r="G612" s="72"/>
      <c r="L612" s="69"/>
      <c r="M612" s="70"/>
      <c r="N612"/>
    </row>
    <row r="613" spans="4:14" ht="28" thickTop="1" thickBot="1" x14ac:dyDescent="0.35">
      <c r="D613" s="73">
        <f>+E613*(F613*G613)</f>
        <v>1868.5333333333333</v>
      </c>
      <c r="E613" s="74">
        <f>M600</f>
        <v>196</v>
      </c>
      <c r="F613" s="75">
        <f>L595</f>
        <v>1</v>
      </c>
      <c r="G613" s="76">
        <f>F595</f>
        <v>9.5333333333333332</v>
      </c>
      <c r="L613" s="77" t="s">
        <v>7</v>
      </c>
      <c r="M613" s="70"/>
      <c r="N613"/>
    </row>
    <row r="614" spans="4:14" ht="28" thickTop="1" thickBot="1" x14ac:dyDescent="0.35">
      <c r="D614" s="72"/>
      <c r="E614" s="101" t="s">
        <v>62</v>
      </c>
      <c r="F614" s="104">
        <f>+F613*G613</f>
        <v>9.5333333333333332</v>
      </c>
      <c r="G614" s="105"/>
      <c r="L614" s="69"/>
      <c r="M614" s="70"/>
      <c r="N614"/>
    </row>
    <row r="615" spans="4:14" ht="19" thickTop="1" x14ac:dyDescent="0.3">
      <c r="L615" s="69"/>
      <c r="M615" s="70"/>
      <c r="N615"/>
    </row>
    <row r="616" spans="4:14" ht="30" x14ac:dyDescent="0.3">
      <c r="D616" s="71" t="s">
        <v>48</v>
      </c>
      <c r="E616" s="71" t="s">
        <v>45</v>
      </c>
      <c r="F616" s="71" t="s">
        <v>46</v>
      </c>
      <c r="G616" s="71" t="s">
        <v>37</v>
      </c>
      <c r="L616" s="69"/>
      <c r="M616" s="70"/>
      <c r="N616"/>
    </row>
    <row r="617" spans="4:14" ht="27" thickBot="1" x14ac:dyDescent="0.35">
      <c r="D617" s="72"/>
      <c r="E617" s="72"/>
      <c r="F617" s="72"/>
      <c r="G617" s="72"/>
      <c r="L617" s="69"/>
      <c r="M617" s="70"/>
      <c r="N617"/>
    </row>
    <row r="618" spans="4:14" ht="28" thickTop="1" thickBot="1" x14ac:dyDescent="0.35">
      <c r="D618" s="73">
        <f>+D608+D613</f>
        <v>2812.6</v>
      </c>
      <c r="E618" s="74">
        <f>M600</f>
        <v>196</v>
      </c>
      <c r="F618" s="78">
        <f>L600</f>
        <v>2</v>
      </c>
      <c r="G618" s="76">
        <f>D618/E618/F618</f>
        <v>7.1749999999999998</v>
      </c>
      <c r="H618" s="1" t="s">
        <v>7</v>
      </c>
      <c r="L618" s="69" t="s">
        <v>7</v>
      </c>
      <c r="M618" s="70"/>
      <c r="N618"/>
    </row>
    <row r="619" spans="4:14" ht="28" thickTop="1" thickBot="1" x14ac:dyDescent="0.35">
      <c r="D619" s="72"/>
      <c r="E619" s="101" t="s">
        <v>62</v>
      </c>
      <c r="F619" s="104">
        <f>G618*F618</f>
        <v>14.35</v>
      </c>
      <c r="G619" s="105"/>
      <c r="L619" s="69"/>
      <c r="M619" s="70"/>
      <c r="N619"/>
    </row>
    <row r="620" spans="4:14" ht="19" thickTop="1" x14ac:dyDescent="0.3">
      <c r="L620" s="79"/>
      <c r="M620" s="70"/>
      <c r="N620"/>
    </row>
    <row r="621" spans="4:14" ht="16" x14ac:dyDescent="0.2">
      <c r="N621"/>
    </row>
    <row r="622" spans="4:14" ht="16" x14ac:dyDescent="0.2">
      <c r="N622"/>
    </row>
    <row r="623" spans="4:14" ht="16" x14ac:dyDescent="0.2">
      <c r="N623"/>
    </row>
    <row r="624" spans="4:14" ht="16" x14ac:dyDescent="0.2">
      <c r="N624"/>
    </row>
    <row r="625" spans="14:14" ht="16" x14ac:dyDescent="0.2">
      <c r="N625"/>
    </row>
    <row r="626" spans="14:14" ht="16" x14ac:dyDescent="0.2">
      <c r="N626"/>
    </row>
    <row r="627" spans="14:14" ht="16" x14ac:dyDescent="0.2">
      <c r="N627"/>
    </row>
    <row r="628" spans="14:14" ht="16" x14ac:dyDescent="0.2">
      <c r="N628"/>
    </row>
    <row r="629" spans="14:14" ht="16" x14ac:dyDescent="0.2">
      <c r="N629"/>
    </row>
    <row r="630" spans="14:14" ht="16" x14ac:dyDescent="0.2">
      <c r="N630"/>
    </row>
    <row r="631" spans="14:14" ht="16" x14ac:dyDescent="0.2">
      <c r="N631"/>
    </row>
    <row r="632" spans="14:14" ht="16" x14ac:dyDescent="0.2">
      <c r="N632"/>
    </row>
    <row r="633" spans="14:14" ht="16" x14ac:dyDescent="0.2">
      <c r="N633"/>
    </row>
    <row r="634" spans="14:14" ht="16" x14ac:dyDescent="0.2">
      <c r="N634"/>
    </row>
    <row r="635" spans="14:14" ht="16" x14ac:dyDescent="0.2">
      <c r="N635"/>
    </row>
    <row r="636" spans="14:14" ht="16" x14ac:dyDescent="0.2">
      <c r="N636"/>
    </row>
    <row r="637" spans="14:14" ht="16" x14ac:dyDescent="0.2">
      <c r="N637"/>
    </row>
    <row r="638" spans="14:14" ht="16" x14ac:dyDescent="0.2">
      <c r="N638"/>
    </row>
    <row r="639" spans="14:14" ht="16" x14ac:dyDescent="0.2">
      <c r="N639"/>
    </row>
    <row r="640" spans="14:14" ht="16" x14ac:dyDescent="0.2">
      <c r="N640"/>
    </row>
    <row r="641" spans="14:14" ht="16" x14ac:dyDescent="0.2">
      <c r="N641"/>
    </row>
    <row r="642" spans="14:14" ht="16" x14ac:dyDescent="0.2">
      <c r="N642"/>
    </row>
  </sheetData>
  <sheetProtection algorithmName="SHA-512" hashValue="AIxQPfBsE/883sDaFRLUiCDfSmlS7gWdmR7Ma7z/GrOjKCXmzWb2DZcflrq3Vnx//R8VMRFIEbKLHJPrPwQwmA==" saltValue="qohwdL2j04l860lcxUR8wg==" spinCount="100000" sheet="1" objects="1" scenarios="1"/>
  <mergeCells count="119">
    <mergeCell ref="M4:M6"/>
    <mergeCell ref="J9:J11"/>
    <mergeCell ref="J12:J18"/>
    <mergeCell ref="J19:J20"/>
    <mergeCell ref="J24:J26"/>
    <mergeCell ref="A1:A258"/>
    <mergeCell ref="E4:E6"/>
    <mergeCell ref="F4:F6"/>
    <mergeCell ref="G4:G6"/>
    <mergeCell ref="H4:H6"/>
    <mergeCell ref="L4:L6"/>
    <mergeCell ref="J27:J33"/>
    <mergeCell ref="J34:J35"/>
    <mergeCell ref="E47:E49"/>
    <mergeCell ref="F47:F49"/>
    <mergeCell ref="G47:G49"/>
    <mergeCell ref="H47:H49"/>
    <mergeCell ref="L47:L49"/>
    <mergeCell ref="M47:M49"/>
    <mergeCell ref="E90:E92"/>
    <mergeCell ref="F90:F92"/>
    <mergeCell ref="G90:G92"/>
    <mergeCell ref="H90:H92"/>
    <mergeCell ref="L90:L92"/>
    <mergeCell ref="J138:J140"/>
    <mergeCell ref="J141:J147"/>
    <mergeCell ref="J148:J149"/>
    <mergeCell ref="J153:J155"/>
    <mergeCell ref="J156:J162"/>
    <mergeCell ref="J163:J164"/>
    <mergeCell ref="M90:M92"/>
    <mergeCell ref="E133:E135"/>
    <mergeCell ref="F133:F135"/>
    <mergeCell ref="G133:G135"/>
    <mergeCell ref="H133:H135"/>
    <mergeCell ref="L133:L135"/>
    <mergeCell ref="M133:M135"/>
    <mergeCell ref="E219:E221"/>
    <mergeCell ref="F219:F221"/>
    <mergeCell ref="G219:G221"/>
    <mergeCell ref="H219:H221"/>
    <mergeCell ref="L219:L221"/>
    <mergeCell ref="M219:M221"/>
    <mergeCell ref="E176:E178"/>
    <mergeCell ref="F176:F178"/>
    <mergeCell ref="G176:G178"/>
    <mergeCell ref="H176:H178"/>
    <mergeCell ref="L176:L178"/>
    <mergeCell ref="M176:M178"/>
    <mergeCell ref="M262:M264"/>
    <mergeCell ref="J267:J269"/>
    <mergeCell ref="J270:J276"/>
    <mergeCell ref="J277:J278"/>
    <mergeCell ref="J282:J284"/>
    <mergeCell ref="A260:A516"/>
    <mergeCell ref="E262:E264"/>
    <mergeCell ref="F262:F264"/>
    <mergeCell ref="G262:G264"/>
    <mergeCell ref="H262:H264"/>
    <mergeCell ref="L262:L264"/>
    <mergeCell ref="J285:J291"/>
    <mergeCell ref="J292:J293"/>
    <mergeCell ref="E305:E307"/>
    <mergeCell ref="F305:F307"/>
    <mergeCell ref="G305:G307"/>
    <mergeCell ref="H305:H307"/>
    <mergeCell ref="L305:L307"/>
    <mergeCell ref="M305:M307"/>
    <mergeCell ref="E348:E350"/>
    <mergeCell ref="F348:F350"/>
    <mergeCell ref="G348:G350"/>
    <mergeCell ref="H348:H350"/>
    <mergeCell ref="L348:L350"/>
    <mergeCell ref="J396:J398"/>
    <mergeCell ref="J399:J405"/>
    <mergeCell ref="J406:J407"/>
    <mergeCell ref="J411:J413"/>
    <mergeCell ref="J414:J420"/>
    <mergeCell ref="J421:J422"/>
    <mergeCell ref="M348:M350"/>
    <mergeCell ref="E391:E393"/>
    <mergeCell ref="F391:F393"/>
    <mergeCell ref="G391:G393"/>
    <mergeCell ref="H391:H393"/>
    <mergeCell ref="L391:L393"/>
    <mergeCell ref="M391:M393"/>
    <mergeCell ref="E563:E565"/>
    <mergeCell ref="F563:F565"/>
    <mergeCell ref="G563:G565"/>
    <mergeCell ref="H563:H565"/>
    <mergeCell ref="L563:L565"/>
    <mergeCell ref="M563:M565"/>
    <mergeCell ref="E477:E479"/>
    <mergeCell ref="F477:F479"/>
    <mergeCell ref="G477:G479"/>
    <mergeCell ref="H477:H479"/>
    <mergeCell ref="L477:L479"/>
    <mergeCell ref="M477:M479"/>
    <mergeCell ref="L520:L522"/>
    <mergeCell ref="M520:M522"/>
    <mergeCell ref="E434:E436"/>
    <mergeCell ref="F434:F436"/>
    <mergeCell ref="G434:G436"/>
    <mergeCell ref="H434:H436"/>
    <mergeCell ref="L434:L436"/>
    <mergeCell ref="M434:M436"/>
    <mergeCell ref="E520:E522"/>
    <mergeCell ref="F520:F522"/>
    <mergeCell ref="G520:G522"/>
    <mergeCell ref="H520:H522"/>
    <mergeCell ref="J593:J594"/>
    <mergeCell ref="F609:G609"/>
    <mergeCell ref="F614:G614"/>
    <mergeCell ref="F619:G619"/>
    <mergeCell ref="J568:J570"/>
    <mergeCell ref="J571:J577"/>
    <mergeCell ref="J578:J579"/>
    <mergeCell ref="J583:J585"/>
    <mergeCell ref="J586:J592"/>
  </mergeCells>
  <pageMargins left="0.78740157499999996" right="0.78740157499999996" top="0.984251969" bottom="0.984251969" header="0.5" footer="0.5"/>
  <pageSetup orientation="portrait" horizontalDpi="4294967292" verticalDpi="4294967292"/>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Calcul CmO et PmO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2022-02-24T17:43:06Z</dcterms:created>
  <dcterms:modified xsi:type="dcterms:W3CDTF">2022-02-25T16:55:06Z</dcterms:modified>
</cp:coreProperties>
</file>